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E:\Users\JK\Documents\Netpicks PTU Files\"/>
    </mc:Choice>
  </mc:AlternateContent>
  <bookViews>
    <workbookView xWindow="1005" yWindow="1005" windowWidth="12840" windowHeight="6120"/>
  </bookViews>
  <sheets>
    <sheet name="Log" sheetId="4" r:id="rId1"/>
    <sheet name="Summary" sheetId="7" r:id="rId2"/>
    <sheet name="Equity Chart" sheetId="13" r:id="rId3"/>
    <sheet name="Lookup" sheetId="8" r:id="rId4"/>
    <sheet name="Plan Notes" sheetId="9" r:id="rId5"/>
  </sheets>
  <definedNames>
    <definedName name="_xlnm._FilterDatabase" localSheetId="0" hidden="1">Log!$A$2:$AC$100</definedName>
    <definedName name="Entry_name">Lookup!$A$2:$A$5</definedName>
    <definedName name="Exit_name">Lookup!$B$2:$B$7</definedName>
    <definedName name="Position">Lookup!$C$2:$C$3</definedName>
  </definedNames>
  <calcPr calcId="152511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Y16" i="7" l="1"/>
  <c r="Y24" i="7"/>
  <c r="L65" i="4"/>
  <c r="M65" i="4"/>
  <c r="N65" i="4"/>
  <c r="O65" i="4"/>
  <c r="P65" i="4"/>
  <c r="W65" i="4"/>
  <c r="X65" i="4"/>
  <c r="Y65" i="4"/>
  <c r="Z65" i="4"/>
  <c r="Z66" i="4" s="1"/>
  <c r="L66" i="4"/>
  <c r="M66" i="4"/>
  <c r="N66" i="4"/>
  <c r="O66" i="4"/>
  <c r="P66" i="4"/>
  <c r="W66" i="4"/>
  <c r="X66" i="4"/>
  <c r="Y66" i="4"/>
  <c r="L43" i="4" l="1"/>
  <c r="M43" i="4"/>
  <c r="N43" i="4"/>
  <c r="O43" i="4"/>
  <c r="P43" i="4"/>
  <c r="L44" i="4"/>
  <c r="M44" i="4"/>
  <c r="N44" i="4"/>
  <c r="O44" i="4"/>
  <c r="P44" i="4"/>
  <c r="L45" i="4"/>
  <c r="M45" i="4"/>
  <c r="N45" i="4"/>
  <c r="O45" i="4"/>
  <c r="P45" i="4"/>
  <c r="L46" i="4"/>
  <c r="M46" i="4"/>
  <c r="N46" i="4"/>
  <c r="O46" i="4"/>
  <c r="P46" i="4"/>
  <c r="L47" i="4"/>
  <c r="M47" i="4"/>
  <c r="N47" i="4"/>
  <c r="O47" i="4"/>
  <c r="P47" i="4"/>
  <c r="Z47" i="4"/>
  <c r="L48" i="4"/>
  <c r="M48" i="4"/>
  <c r="N48" i="4"/>
  <c r="O48" i="4"/>
  <c r="P48" i="4"/>
  <c r="Z48" i="4" s="1"/>
  <c r="L49" i="4"/>
  <c r="M49" i="4"/>
  <c r="N49" i="4"/>
  <c r="O49" i="4"/>
  <c r="P49" i="4"/>
  <c r="L50" i="4"/>
  <c r="M50" i="4"/>
  <c r="N50" i="4"/>
  <c r="O50" i="4"/>
  <c r="P50" i="4"/>
  <c r="L51" i="4"/>
  <c r="M51" i="4"/>
  <c r="N51" i="4"/>
  <c r="O51" i="4"/>
  <c r="P51" i="4"/>
  <c r="L52" i="4"/>
  <c r="M52" i="4"/>
  <c r="N52" i="4"/>
  <c r="O52" i="4"/>
  <c r="P52" i="4"/>
  <c r="L53" i="4"/>
  <c r="M53" i="4"/>
  <c r="N53" i="4"/>
  <c r="O53" i="4"/>
  <c r="P53" i="4"/>
  <c r="L54" i="4"/>
  <c r="M54" i="4"/>
  <c r="N54" i="4"/>
  <c r="O54" i="4"/>
  <c r="P54" i="4"/>
  <c r="Z54" i="4"/>
  <c r="L55" i="4"/>
  <c r="M55" i="4"/>
  <c r="N55" i="4"/>
  <c r="O55" i="4"/>
  <c r="P55" i="4"/>
  <c r="Z55" i="4" s="1"/>
  <c r="L56" i="4"/>
  <c r="M56" i="4"/>
  <c r="N56" i="4"/>
  <c r="O56" i="4"/>
  <c r="P56" i="4"/>
  <c r="L57" i="4"/>
  <c r="M57" i="4"/>
  <c r="N57" i="4"/>
  <c r="O57" i="4"/>
  <c r="P57" i="4"/>
  <c r="L58" i="4"/>
  <c r="M58" i="4"/>
  <c r="N58" i="4"/>
  <c r="O58" i="4"/>
  <c r="P58" i="4"/>
  <c r="L59" i="4"/>
  <c r="M59" i="4"/>
  <c r="N59" i="4"/>
  <c r="O59" i="4"/>
  <c r="P59" i="4"/>
  <c r="L60" i="4"/>
  <c r="M60" i="4"/>
  <c r="N60" i="4"/>
  <c r="O60" i="4"/>
  <c r="P60" i="4"/>
  <c r="L61" i="4"/>
  <c r="M61" i="4"/>
  <c r="N61" i="4"/>
  <c r="O61" i="4"/>
  <c r="P61" i="4"/>
  <c r="L62" i="4"/>
  <c r="M62" i="4"/>
  <c r="N62" i="4"/>
  <c r="O62" i="4"/>
  <c r="P62" i="4"/>
  <c r="L63" i="4"/>
  <c r="M63" i="4"/>
  <c r="N63" i="4"/>
  <c r="O63" i="4"/>
  <c r="P63" i="4"/>
  <c r="Z63" i="4"/>
  <c r="L64" i="4"/>
  <c r="M64" i="4"/>
  <c r="N64" i="4"/>
  <c r="O64" i="4"/>
  <c r="P64" i="4"/>
  <c r="Z64" i="4" s="1"/>
  <c r="L39" i="4"/>
  <c r="M39" i="4"/>
  <c r="N39" i="4"/>
  <c r="O39" i="4"/>
  <c r="P39" i="4"/>
  <c r="W39" i="4"/>
  <c r="X39" i="4"/>
  <c r="Y39" i="4"/>
  <c r="Z39" i="4"/>
  <c r="L40" i="4"/>
  <c r="M40" i="4"/>
  <c r="N40" i="4"/>
  <c r="O40" i="4"/>
  <c r="P40" i="4"/>
  <c r="W40" i="4"/>
  <c r="Y40" i="4" s="1"/>
  <c r="X40" i="4"/>
  <c r="Z40" i="4"/>
  <c r="L41" i="4"/>
  <c r="M41" i="4"/>
  <c r="N41" i="4"/>
  <c r="O41" i="4"/>
  <c r="P41" i="4"/>
  <c r="W41" i="4"/>
  <c r="X41" i="4" s="1"/>
  <c r="Z41" i="4"/>
  <c r="L42" i="4"/>
  <c r="M42" i="4"/>
  <c r="N42" i="4"/>
  <c r="O42" i="4"/>
  <c r="P42" i="4"/>
  <c r="W42" i="4" s="1"/>
  <c r="Z57" i="4" l="1"/>
  <c r="Z58" i="4" s="1"/>
  <c r="Z56" i="4"/>
  <c r="Z49" i="4"/>
  <c r="Z50" i="4"/>
  <c r="Z59" i="4"/>
  <c r="Z60" i="4" s="1"/>
  <c r="Z61" i="4" s="1"/>
  <c r="Z62" i="4" s="1"/>
  <c r="Z51" i="4"/>
  <c r="Z52" i="4" s="1"/>
  <c r="Z53" i="4" s="1"/>
  <c r="Z43" i="4"/>
  <c r="Z44" i="4" s="1"/>
  <c r="Z45" i="4" s="1"/>
  <c r="Z46" i="4" s="1"/>
  <c r="W43" i="4"/>
  <c r="X42" i="4"/>
  <c r="Y42" i="4"/>
  <c r="Z42" i="4"/>
  <c r="Y41" i="4"/>
  <c r="L29" i="4"/>
  <c r="M29" i="4"/>
  <c r="N29" i="4"/>
  <c r="O29" i="4"/>
  <c r="P29" i="4"/>
  <c r="W29" i="4" s="1"/>
  <c r="L30" i="4"/>
  <c r="M30" i="4"/>
  <c r="N30" i="4"/>
  <c r="O30" i="4"/>
  <c r="P30" i="4"/>
  <c r="L31" i="4"/>
  <c r="M31" i="4"/>
  <c r="N31" i="4"/>
  <c r="O31" i="4"/>
  <c r="P31" i="4"/>
  <c r="L32" i="4"/>
  <c r="M32" i="4"/>
  <c r="N32" i="4"/>
  <c r="O32" i="4"/>
  <c r="P32" i="4"/>
  <c r="L33" i="4"/>
  <c r="M33" i="4"/>
  <c r="N33" i="4"/>
  <c r="O33" i="4"/>
  <c r="P33" i="4"/>
  <c r="L34" i="4"/>
  <c r="M34" i="4"/>
  <c r="N34" i="4"/>
  <c r="O34" i="4"/>
  <c r="P34" i="4"/>
  <c r="L35" i="4"/>
  <c r="M35" i="4"/>
  <c r="N35" i="4"/>
  <c r="O35" i="4"/>
  <c r="P35" i="4"/>
  <c r="L36" i="4"/>
  <c r="M36" i="4"/>
  <c r="N36" i="4"/>
  <c r="O36" i="4"/>
  <c r="P36" i="4"/>
  <c r="L37" i="4"/>
  <c r="M37" i="4"/>
  <c r="N37" i="4"/>
  <c r="O37" i="4"/>
  <c r="P37" i="4"/>
  <c r="L38" i="4"/>
  <c r="M38" i="4"/>
  <c r="N38" i="4"/>
  <c r="O38" i="4"/>
  <c r="P38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L15" i="4"/>
  <c r="M15" i="4"/>
  <c r="N15" i="4"/>
  <c r="P15" i="4"/>
  <c r="L16" i="4"/>
  <c r="M16" i="4"/>
  <c r="N16" i="4"/>
  <c r="P16" i="4"/>
  <c r="L17" i="4"/>
  <c r="M17" i="4"/>
  <c r="N17" i="4"/>
  <c r="P17" i="4"/>
  <c r="L18" i="4"/>
  <c r="M18" i="4"/>
  <c r="N18" i="4"/>
  <c r="P18" i="4"/>
  <c r="L19" i="4"/>
  <c r="M19" i="4"/>
  <c r="N19" i="4"/>
  <c r="P19" i="4"/>
  <c r="Z19" i="4" s="1"/>
  <c r="L20" i="4"/>
  <c r="M20" i="4"/>
  <c r="N20" i="4"/>
  <c r="P20" i="4"/>
  <c r="L21" i="4"/>
  <c r="M21" i="4"/>
  <c r="N21" i="4"/>
  <c r="P21" i="4"/>
  <c r="L22" i="4"/>
  <c r="M22" i="4"/>
  <c r="N22" i="4"/>
  <c r="P22" i="4"/>
  <c r="L23" i="4"/>
  <c r="M23" i="4"/>
  <c r="N23" i="4"/>
  <c r="P23" i="4"/>
  <c r="Z24" i="4" s="1"/>
  <c r="Z23" i="4"/>
  <c r="L24" i="4"/>
  <c r="M24" i="4"/>
  <c r="N24" i="4"/>
  <c r="P24" i="4"/>
  <c r="L25" i="4"/>
  <c r="M25" i="4"/>
  <c r="N25" i="4"/>
  <c r="P25" i="4"/>
  <c r="L26" i="4"/>
  <c r="M26" i="4"/>
  <c r="N26" i="4"/>
  <c r="P26" i="4"/>
  <c r="L27" i="4"/>
  <c r="M27" i="4"/>
  <c r="N27" i="4"/>
  <c r="P27" i="4"/>
  <c r="Z27" i="4" s="1"/>
  <c r="L28" i="4"/>
  <c r="M28" i="4"/>
  <c r="N28" i="4"/>
  <c r="P28" i="4"/>
  <c r="L13" i="4"/>
  <c r="M13" i="4"/>
  <c r="N13" i="4"/>
  <c r="P13" i="4"/>
  <c r="L14" i="4"/>
  <c r="M14" i="4"/>
  <c r="N14" i="4"/>
  <c r="P14" i="4"/>
  <c r="M4" i="4"/>
  <c r="N4" i="4"/>
  <c r="M5" i="4"/>
  <c r="N5" i="4"/>
  <c r="M6" i="4"/>
  <c r="N6" i="4"/>
  <c r="M7" i="4"/>
  <c r="N7" i="4"/>
  <c r="M8" i="4"/>
  <c r="N8" i="4"/>
  <c r="M9" i="4"/>
  <c r="N9" i="4"/>
  <c r="M10" i="4"/>
  <c r="N10" i="4"/>
  <c r="M11" i="4"/>
  <c r="N11" i="4"/>
  <c r="M12" i="4"/>
  <c r="N12" i="4"/>
  <c r="N3" i="4"/>
  <c r="M3" i="4"/>
  <c r="L11" i="4"/>
  <c r="P11" i="4"/>
  <c r="L12" i="4"/>
  <c r="P12" i="4"/>
  <c r="P2" i="4"/>
  <c r="L9" i="4"/>
  <c r="P9" i="4"/>
  <c r="L10" i="4"/>
  <c r="P10" i="4"/>
  <c r="Z11" i="4" s="1"/>
  <c r="Z12" i="4" s="1"/>
  <c r="L7" i="4"/>
  <c r="P7" i="4"/>
  <c r="L8" i="4"/>
  <c r="P8" i="4"/>
  <c r="P5" i="4"/>
  <c r="P6" i="4"/>
  <c r="L5" i="4"/>
  <c r="L6" i="4"/>
  <c r="P4" i="4"/>
  <c r="P3" i="4"/>
  <c r="X43" i="4" l="1"/>
  <c r="W44" i="4"/>
  <c r="Y43" i="4"/>
  <c r="X29" i="4"/>
  <c r="Y29" i="4"/>
  <c r="W30" i="4"/>
  <c r="Z29" i="4"/>
  <c r="Z30" i="4"/>
  <c r="Z31" i="4" s="1"/>
  <c r="Z32" i="4" s="1"/>
  <c r="Z33" i="4" s="1"/>
  <c r="Z34" i="4" s="1"/>
  <c r="Z35" i="4" s="1"/>
  <c r="Z36" i="4" s="1"/>
  <c r="Z37" i="4" s="1"/>
  <c r="Z38" i="4" s="1"/>
  <c r="Z13" i="4"/>
  <c r="Z14" i="4" s="1"/>
  <c r="Z15" i="4" s="1"/>
  <c r="Z16" i="4" s="1"/>
  <c r="Z17" i="4" s="1"/>
  <c r="Z18" i="4" s="1"/>
  <c r="Z25" i="4"/>
  <c r="Z26" i="4" s="1"/>
  <c r="Z20" i="4"/>
  <c r="Z21" i="4"/>
  <c r="Z22" i="4" s="1"/>
  <c r="Z28" i="4"/>
  <c r="Z9" i="4"/>
  <c r="Z10" i="4" s="1"/>
  <c r="Z5" i="4"/>
  <c r="Z6" i="4" s="1"/>
  <c r="X44" i="4" l="1"/>
  <c r="Y44" i="4"/>
  <c r="W45" i="4"/>
  <c r="Y30" i="4"/>
  <c r="X30" i="4"/>
  <c r="W31" i="4"/>
  <c r="Y45" i="4" l="1"/>
  <c r="X45" i="4"/>
  <c r="W46" i="4"/>
  <c r="X31" i="4"/>
  <c r="W32" i="4"/>
  <c r="Y31" i="4"/>
  <c r="X46" i="4" l="1"/>
  <c r="Y46" i="4"/>
  <c r="W47" i="4"/>
  <c r="X32" i="4"/>
  <c r="W33" i="4"/>
  <c r="Y32" i="4"/>
  <c r="X47" i="4" l="1"/>
  <c r="W48" i="4"/>
  <c r="Y47" i="4"/>
  <c r="X33" i="4"/>
  <c r="Y33" i="4"/>
  <c r="W34" i="4"/>
  <c r="X48" i="4" l="1"/>
  <c r="W49" i="4"/>
  <c r="Y48" i="4"/>
  <c r="W35" i="4"/>
  <c r="Y34" i="4"/>
  <c r="X34" i="4"/>
  <c r="X49" i="4" l="1"/>
  <c r="Y49" i="4"/>
  <c r="W50" i="4"/>
  <c r="Y35" i="4"/>
  <c r="W36" i="4"/>
  <c r="X35" i="4"/>
  <c r="X50" i="4" l="1"/>
  <c r="Y50" i="4"/>
  <c r="W51" i="4"/>
  <c r="X36" i="4"/>
  <c r="Y36" i="4"/>
  <c r="W37" i="4"/>
  <c r="X51" i="4" l="1"/>
  <c r="W52" i="4"/>
  <c r="Y51" i="4"/>
  <c r="X37" i="4"/>
  <c r="Y37" i="4"/>
  <c r="W38" i="4"/>
  <c r="X52" i="4" l="1"/>
  <c r="Y52" i="4"/>
  <c r="W53" i="4"/>
  <c r="X38" i="4"/>
  <c r="Y38" i="4"/>
  <c r="Y53" i="4" l="1"/>
  <c r="X53" i="4"/>
  <c r="W54" i="4"/>
  <c r="W3" i="4"/>
  <c r="Y3" i="4" s="1"/>
  <c r="X54" i="4" l="1"/>
  <c r="Y54" i="4"/>
  <c r="W55" i="4"/>
  <c r="X3" i="4"/>
  <c r="W4" i="4"/>
  <c r="W5" i="4" s="1"/>
  <c r="B1" i="8"/>
  <c r="A1" i="8"/>
  <c r="X55" i="4" l="1"/>
  <c r="W56" i="4"/>
  <c r="Y55" i="4"/>
  <c r="Y5" i="4"/>
  <c r="X5" i="4"/>
  <c r="W6" i="4"/>
  <c r="W7" i="4" s="1"/>
  <c r="X4" i="4"/>
  <c r="Y4" i="4"/>
  <c r="Y25" i="7"/>
  <c r="Y18" i="7"/>
  <c r="Y17" i="7"/>
  <c r="Y23" i="7"/>
  <c r="Y22" i="7"/>
  <c r="Y21" i="7"/>
  <c r="L4" i="4"/>
  <c r="L3" i="4"/>
  <c r="X56" i="4" l="1"/>
  <c r="W57" i="4"/>
  <c r="Y56" i="4"/>
  <c r="X7" i="4"/>
  <c r="Y7" i="4"/>
  <c r="W8" i="4"/>
  <c r="W9" i="4" s="1"/>
  <c r="X6" i="4"/>
  <c r="Y6" i="4"/>
  <c r="Z7" i="4"/>
  <c r="Z8" i="4" s="1"/>
  <c r="Z3" i="4"/>
  <c r="Y57" i="4" l="1"/>
  <c r="X57" i="4"/>
  <c r="W58" i="4"/>
  <c r="X9" i="4"/>
  <c r="W10" i="4"/>
  <c r="W11" i="4" s="1"/>
  <c r="Y9" i="4"/>
  <c r="X8" i="4"/>
  <c r="Y8" i="4"/>
  <c r="Z4" i="4"/>
  <c r="Y19" i="7" s="1"/>
  <c r="Y20" i="7"/>
  <c r="X58" i="4" l="1"/>
  <c r="Y58" i="4"/>
  <c r="W59" i="4"/>
  <c r="X11" i="4"/>
  <c r="Y11" i="4"/>
  <c r="W12" i="4"/>
  <c r="X10" i="4"/>
  <c r="Y10" i="4"/>
  <c r="X59" i="4" l="1"/>
  <c r="W60" i="4"/>
  <c r="Y59" i="4"/>
  <c r="W13" i="4"/>
  <c r="X12" i="4"/>
  <c r="Y12" i="4"/>
  <c r="X60" i="4" l="1"/>
  <c r="Y60" i="4"/>
  <c r="W61" i="4"/>
  <c r="Y13" i="4"/>
  <c r="W14" i="4"/>
  <c r="X13" i="4"/>
  <c r="Y61" i="4" l="1"/>
  <c r="X61" i="4"/>
  <c r="W62" i="4"/>
  <c r="W15" i="4"/>
  <c r="Y14" i="4"/>
  <c r="X14" i="4"/>
  <c r="X62" i="4" l="1"/>
  <c r="Y62" i="4"/>
  <c r="W63" i="4"/>
  <c r="Y15" i="4"/>
  <c r="X15" i="4"/>
  <c r="W16" i="4"/>
  <c r="X63" i="4" l="1"/>
  <c r="Y63" i="4"/>
  <c r="W64" i="4"/>
  <c r="X16" i="4"/>
  <c r="Y16" i="4"/>
  <c r="W17" i="4"/>
  <c r="Y64" i="4" l="1"/>
  <c r="X64" i="4"/>
  <c r="Y17" i="4"/>
  <c r="X17" i="4"/>
  <c r="W18" i="4"/>
  <c r="Y18" i="4" l="1"/>
  <c r="W19" i="4"/>
  <c r="X18" i="4"/>
  <c r="Y19" i="4" l="1"/>
  <c r="W20" i="4"/>
  <c r="X19" i="4"/>
  <c r="X20" i="4" l="1"/>
  <c r="W21" i="4"/>
  <c r="Y20" i="4"/>
  <c r="X21" i="4" l="1"/>
  <c r="W22" i="4"/>
  <c r="Y21" i="4"/>
  <c r="X22" i="4" l="1"/>
  <c r="Y22" i="4"/>
  <c r="W23" i="4"/>
  <c r="W24" i="4" l="1"/>
  <c r="X23" i="4"/>
  <c r="Y23" i="4"/>
  <c r="X24" i="4" l="1"/>
  <c r="Y24" i="4"/>
  <c r="W25" i="4"/>
  <c r="Y25" i="4" l="1"/>
  <c r="X25" i="4"/>
  <c r="W26" i="4"/>
  <c r="Y26" i="4" l="1"/>
  <c r="X26" i="4"/>
  <c r="W27" i="4"/>
  <c r="X27" i="4" l="1"/>
  <c r="Y27" i="4"/>
  <c r="W28" i="4"/>
  <c r="Y28" i="4" l="1"/>
  <c r="X28" i="4"/>
</calcChain>
</file>

<file path=xl/sharedStrings.xml><?xml version="1.0" encoding="utf-8"?>
<sst xmlns="http://schemas.openxmlformats.org/spreadsheetml/2006/main" count="332" uniqueCount="107">
  <si>
    <t>Bars</t>
  </si>
  <si>
    <t>Commission</t>
  </si>
  <si>
    <t>Cum. profit</t>
  </si>
  <si>
    <t>ETD</t>
  </si>
  <si>
    <t>Entry name</t>
  </si>
  <si>
    <t>Entry price</t>
  </si>
  <si>
    <t>Entry time</t>
  </si>
  <si>
    <t>Exit name</t>
  </si>
  <si>
    <t>Exit price</t>
  </si>
  <si>
    <t>Exit time</t>
  </si>
  <si>
    <t>Long</t>
  </si>
  <si>
    <t>MAE</t>
  </si>
  <si>
    <t>MFE</t>
  </si>
  <si>
    <t>Market pos.</t>
  </si>
  <si>
    <t>Quantity</t>
  </si>
  <si>
    <t>JL Cross</t>
  </si>
  <si>
    <t>T2</t>
  </si>
  <si>
    <t>Notes</t>
  </si>
  <si>
    <t>Trade #</t>
  </si>
  <si>
    <t>Short</t>
  </si>
  <si>
    <t>JL9 Jump</t>
  </si>
  <si>
    <t>Trailing Stop</t>
  </si>
  <si>
    <t>Running P/L (ticks)</t>
  </si>
  <si>
    <t>Stop</t>
  </si>
  <si>
    <t>Streak</t>
  </si>
  <si>
    <t>Error</t>
  </si>
  <si>
    <t>Lock-in</t>
  </si>
  <si>
    <t>50 EMA Jump</t>
  </si>
  <si>
    <t>Equity Bars</t>
  </si>
  <si>
    <t>Entry Time 15min Bar</t>
  </si>
  <si>
    <t>Exit Time 15min Bar</t>
  </si>
  <si>
    <t>Length of Trade 5min Bar</t>
  </si>
  <si>
    <t>Grand Total</t>
  </si>
  <si>
    <t>P/L by entry time</t>
  </si>
  <si>
    <t>P/L by length of trade</t>
  </si>
  <si>
    <t>P/L by trade type</t>
  </si>
  <si>
    <t>P/L by exit type</t>
  </si>
  <si>
    <t>Day of Week</t>
  </si>
  <si>
    <t>P/L by day of week</t>
  </si>
  <si>
    <t>Average Winner:</t>
  </si>
  <si>
    <t>Average Loser:</t>
  </si>
  <si>
    <t>Number of Trades:</t>
  </si>
  <si>
    <t>R:R:</t>
  </si>
  <si>
    <t>Win:Loss:</t>
  </si>
  <si>
    <t>Win Rate:</t>
  </si>
  <si>
    <t>Total P/L:</t>
  </si>
  <si>
    <t>Max Losing Streak:</t>
  </si>
  <si>
    <t>Max Winning Streak:</t>
  </si>
  <si>
    <t>200 EMA Jump</t>
  </si>
  <si>
    <t>Discretionary</t>
  </si>
  <si>
    <t>Tick Value</t>
  </si>
  <si>
    <t>Running Expectancy (ticks/lot)</t>
  </si>
  <si>
    <t>Row Labels</t>
  </si>
  <si>
    <t>GIS</t>
  </si>
  <si>
    <t>Position</t>
  </si>
  <si>
    <t>Contract</t>
  </si>
  <si>
    <t>Tick size</t>
  </si>
  <si>
    <t>British Pound Futures (6B)</t>
  </si>
  <si>
    <r>
      <t xml:space="preserve">COPY DOWN </t>
    </r>
    <r>
      <rPr>
        <sz val="8"/>
        <rFont val="Microsoft Sans Serif"/>
        <family val="2"/>
      </rPr>
      <t>(highlight last row in section and drag down from bottom right)</t>
    </r>
  </si>
  <si>
    <t>Currency Symbol</t>
  </si>
  <si>
    <t>$</t>
  </si>
  <si>
    <t>JL4 Trailed</t>
  </si>
  <si>
    <t>ENTER VALUE</t>
  </si>
  <si>
    <r>
      <t xml:space="preserve">ENTER VALUE </t>
    </r>
    <r>
      <rPr>
        <sz val="8"/>
        <rFont val="Microsoft Sans Serif"/>
        <family val="2"/>
      </rPr>
      <t>(or copy from trading platform)</t>
    </r>
  </si>
  <si>
    <t>375 Volume Chart</t>
  </si>
  <si>
    <t>Start 03:00 EST</t>
  </si>
  <si>
    <t>Stop 08:00 EST</t>
  </si>
  <si>
    <t>POQ1</t>
  </si>
  <si>
    <t>Trailing Stop No T2</t>
  </si>
  <si>
    <t>IF T2 = True, what is the average value of the trailer vs T2?</t>
  </si>
  <si>
    <t>SELECT VALUE FROM LIST</t>
  </si>
  <si>
    <t>Specs</t>
  </si>
  <si>
    <t>Possibly too large a volume for early on in EU session</t>
  </si>
  <si>
    <t>Count of Profit ($)</t>
  </si>
  <si>
    <t>Sum of Profit ($)</t>
  </si>
  <si>
    <t>3-Mar</t>
  </si>
  <si>
    <t>4-Mar</t>
  </si>
  <si>
    <t>5-Mar</t>
  </si>
  <si>
    <t>6-Mar</t>
  </si>
  <si>
    <t>7-Mar</t>
  </si>
  <si>
    <t>11-Mar</t>
  </si>
  <si>
    <t>12-Mar</t>
  </si>
  <si>
    <t>13-Mar</t>
  </si>
  <si>
    <t>14-Mar</t>
  </si>
  <si>
    <t>17-Mar</t>
  </si>
  <si>
    <t>18-Mar</t>
  </si>
  <si>
    <t>19-Mar</t>
  </si>
  <si>
    <t>20-Mar</t>
  </si>
  <si>
    <t>21-Mar</t>
  </si>
  <si>
    <t>24-Mar</t>
  </si>
  <si>
    <t>25-Mar</t>
  </si>
  <si>
    <t>26-Mar</t>
  </si>
  <si>
    <t>27-Mar</t>
  </si>
  <si>
    <t>31-Mar</t>
  </si>
  <si>
    <t>1-Apr</t>
  </si>
  <si>
    <t>2-Apr</t>
  </si>
  <si>
    <t>3-Apr</t>
  </si>
  <si>
    <t>7-Apr</t>
  </si>
  <si>
    <t>8-Apr</t>
  </si>
  <si>
    <t>9-Apr</t>
  </si>
  <si>
    <t>11-Apr</t>
  </si>
  <si>
    <t>P/L Bars</t>
  </si>
  <si>
    <t>Average of Profit ($)</t>
  </si>
  <si>
    <t>Questions:-</t>
  </si>
  <si>
    <t>Expectancy (ticks/lot):</t>
  </si>
  <si>
    <t>Need to figure out better start and stop times</t>
  </si>
  <si>
    <t>Need to add T2 and Stop value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</si>
</sst>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m/d/yyyy\ h:mm\ AM/PM"/>
    <numFmt numFmtId="165" formatCode="0.0000"/>
    <numFmt numFmtId="166" formatCode="[$-409]h:mm\ AM/PM;@"/>
    <numFmt numFmtId="167" formatCode="ddd"/>
    <numFmt numFmtId="168" formatCode="dddd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color indexed="64"/>
      <name val="Microsoft Sans Serif"/>
      <family val="2"/>
    </font>
    <font>
      <sz val="8"/>
      <color indexed="9"/>
      <name val="Microsoft Sans Serif"/>
      <family val="2"/>
    </font>
    <font>
      <sz val="8"/>
      <name val="Microsoft Sans Serif"/>
      <family val="2"/>
    </font>
    <font>
      <b/>
      <sz val="8"/>
      <name val="Microsoft Sans Serif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color indexed="72"/>
      <name val="Microsoft Sans Serif"/>
      <family val="2"/>
    </font>
    <font>
      <b/>
      <sz val="9"/>
      <name val="Microsoft Sans Serif"/>
      <family val="2"/>
    </font>
    <font>
      <sz val="10"/>
      <name val="Calibri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1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9F4E8"/>
        <bgColor indexed="64"/>
      </patternFill>
    </fill>
    <fill>
      <patternFill patternType="solid">
        <fgColor rgb="FFFEF1E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/>
    <xf numFmtId="0" fontId="8" fillId="0" borderId="0" xfId="0" applyFont="1"/>
    <xf numFmtId="0" fontId="2" fillId="0" borderId="0" xfId="0" applyNumberFormat="1" applyFont="1"/>
    <xf numFmtId="22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6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67" fontId="5" fillId="2" borderId="0" xfId="0" applyNumberFormat="1" applyFont="1" applyFill="1" applyAlignment="1">
      <alignment vertical="center"/>
    </xf>
    <xf numFmtId="166" fontId="5" fillId="2" borderId="0" xfId="0" applyNumberFormat="1" applyFont="1" applyFill="1" applyAlignment="1">
      <alignment vertical="center"/>
    </xf>
    <xf numFmtId="1" fontId="5" fillId="2" borderId="0" xfId="0" applyNumberFormat="1" applyFont="1" applyFill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2" fontId="5" fillId="2" borderId="0" xfId="0" applyNumberFormat="1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165" fontId="3" fillId="6" borderId="2" xfId="0" applyNumberFormat="1" applyFont="1" applyFill="1" applyBorder="1" applyAlignment="1">
      <alignment horizontal="center" vertical="center"/>
    </xf>
    <xf numFmtId="164" fontId="3" fillId="6" borderId="2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5" fontId="5" fillId="6" borderId="1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165" fontId="5" fillId="6" borderId="2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165" fontId="3" fillId="6" borderId="3" xfId="0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vertical="center"/>
    </xf>
    <xf numFmtId="165" fontId="5" fillId="6" borderId="0" xfId="0" applyNumberFormat="1" applyFont="1" applyFill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11" fillId="0" borderId="0" xfId="0" applyFont="1"/>
    <xf numFmtId="0" fontId="5" fillId="7" borderId="0" xfId="0" applyFont="1" applyFill="1" applyAlignment="1">
      <alignment vertical="center"/>
    </xf>
    <xf numFmtId="0" fontId="5" fillId="7" borderId="1" xfId="0" applyFont="1" applyFill="1" applyBorder="1" applyAlignment="1">
      <alignment vertical="center"/>
    </xf>
    <xf numFmtId="0" fontId="5" fillId="7" borderId="2" xfId="0" applyFont="1" applyFill="1" applyBorder="1" applyAlignment="1">
      <alignment vertical="center"/>
    </xf>
    <xf numFmtId="0" fontId="5" fillId="7" borderId="3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2" fontId="5" fillId="7" borderId="0" xfId="0" applyNumberFormat="1" applyFont="1" applyFill="1" applyAlignment="1">
      <alignment vertical="center"/>
    </xf>
    <xf numFmtId="0" fontId="7" fillId="0" borderId="4" xfId="0" pivotButton="1" applyFont="1" applyBorder="1"/>
    <xf numFmtId="0" fontId="7" fillId="0" borderId="11" xfId="0" applyFont="1" applyBorder="1"/>
    <xf numFmtId="0" fontId="7" fillId="0" borderId="5" xfId="0" applyFont="1" applyBorder="1"/>
    <xf numFmtId="0" fontId="7" fillId="0" borderId="6" xfId="0" applyFont="1" applyBorder="1" applyAlignment="1">
      <alignment horizontal="left"/>
    </xf>
    <xf numFmtId="2" fontId="7" fillId="0" borderId="0" xfId="0" applyNumberFormat="1" applyFont="1" applyBorder="1"/>
    <xf numFmtId="2" fontId="7" fillId="0" borderId="7" xfId="0" applyNumberFormat="1" applyFont="1" applyBorder="1"/>
    <xf numFmtId="0" fontId="7" fillId="0" borderId="8" xfId="0" applyFont="1" applyBorder="1" applyAlignment="1">
      <alignment horizontal="left"/>
    </xf>
    <xf numFmtId="2" fontId="7" fillId="0" borderId="12" xfId="0" applyNumberFormat="1" applyFont="1" applyBorder="1"/>
    <xf numFmtId="2" fontId="7" fillId="0" borderId="9" xfId="0" applyNumberFormat="1" applyFont="1" applyBorder="1"/>
    <xf numFmtId="19" fontId="7" fillId="0" borderId="6" xfId="0" applyNumberFormat="1" applyFont="1" applyBorder="1" applyAlignment="1">
      <alignment horizontal="left"/>
    </xf>
    <xf numFmtId="0" fontId="7" fillId="0" borderId="7" xfId="0" applyNumberFormat="1" applyFont="1" applyBorder="1"/>
    <xf numFmtId="0" fontId="7" fillId="0" borderId="9" xfId="0" applyNumberFormat="1" applyFont="1" applyBorder="1"/>
    <xf numFmtId="168" fontId="7" fillId="0" borderId="4" xfId="0" pivotButton="1" applyNumberFormat="1" applyFont="1" applyBorder="1"/>
    <xf numFmtId="168" fontId="7" fillId="0" borderId="11" xfId="0" applyNumberFormat="1" applyFont="1" applyBorder="1"/>
    <xf numFmtId="168" fontId="7" fillId="0" borderId="5" xfId="0" applyNumberFormat="1" applyFont="1" applyBorder="1"/>
    <xf numFmtId="168" fontId="7" fillId="0" borderId="6" xfId="0" applyNumberFormat="1" applyFont="1" applyBorder="1" applyAlignment="1">
      <alignment horizontal="left"/>
    </xf>
    <xf numFmtId="1" fontId="7" fillId="0" borderId="7" xfId="0" applyNumberFormat="1" applyFont="1" applyBorder="1"/>
    <xf numFmtId="168" fontId="7" fillId="0" borderId="8" xfId="0" applyNumberFormat="1" applyFont="1" applyBorder="1" applyAlignment="1">
      <alignment horizontal="left"/>
    </xf>
    <xf numFmtId="1" fontId="7" fillId="0" borderId="9" xfId="0" applyNumberFormat="1" applyFont="1" applyBorder="1"/>
    <xf numFmtId="0" fontId="7" fillId="3" borderId="5" xfId="0" applyFont="1" applyFill="1" applyBorder="1" applyAlignment="1">
      <alignment horizontal="right"/>
    </xf>
    <xf numFmtId="8" fontId="7" fillId="3" borderId="7" xfId="0" applyNumberFormat="1" applyFont="1" applyFill="1" applyBorder="1" applyAlignment="1">
      <alignment horizontal="right"/>
    </xf>
    <xf numFmtId="2" fontId="7" fillId="3" borderId="7" xfId="0" applyNumberFormat="1" applyFont="1" applyFill="1" applyBorder="1" applyAlignment="1">
      <alignment horizontal="right"/>
    </xf>
    <xf numFmtId="10" fontId="7" fillId="3" borderId="7" xfId="0" applyNumberFormat="1" applyFont="1" applyFill="1" applyBorder="1" applyAlignment="1">
      <alignment horizontal="right"/>
    </xf>
    <xf numFmtId="8" fontId="7" fillId="3" borderId="9" xfId="0" applyNumberFormat="1" applyFont="1" applyFill="1" applyBorder="1" applyAlignment="1">
      <alignment horizontal="right"/>
    </xf>
    <xf numFmtId="0" fontId="9" fillId="4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wrapText="1"/>
    </xf>
    <xf numFmtId="164" fontId="3" fillId="6" borderId="16" xfId="0" applyNumberFormat="1" applyFont="1" applyFill="1" applyBorder="1" applyAlignment="1">
      <alignment horizontal="center" vertical="center"/>
    </xf>
    <xf numFmtId="164" fontId="3" fillId="6" borderId="17" xfId="0" applyNumberFormat="1" applyFont="1" applyFill="1" applyBorder="1" applyAlignment="1">
      <alignment horizontal="center" vertical="center"/>
    </xf>
    <xf numFmtId="164" fontId="5" fillId="6" borderId="16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vertical="center"/>
    </xf>
    <xf numFmtId="167" fontId="9" fillId="4" borderId="13" xfId="0" applyNumberFormat="1" applyFont="1" applyFill="1" applyBorder="1" applyAlignment="1">
      <alignment horizontal="center" vertical="center" wrapText="1"/>
    </xf>
    <xf numFmtId="167" fontId="3" fillId="2" borderId="13" xfId="0" applyNumberFormat="1" applyFont="1" applyFill="1" applyBorder="1" applyAlignment="1">
      <alignment horizontal="center" vertical="center"/>
    </xf>
    <xf numFmtId="167" fontId="5" fillId="2" borderId="13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2" fontId="9" fillId="5" borderId="13" xfId="0" applyNumberFormat="1" applyFont="1" applyFill="1" applyBorder="1" applyAlignment="1">
      <alignment horizontal="center" vertical="center" wrapText="1"/>
    </xf>
    <xf numFmtId="2" fontId="3" fillId="7" borderId="13" xfId="0" applyNumberFormat="1" applyFont="1" applyFill="1" applyBorder="1" applyAlignment="1">
      <alignment horizontal="center" vertical="center"/>
    </xf>
    <xf numFmtId="2" fontId="3" fillId="7" borderId="14" xfId="0" applyNumberFormat="1" applyFont="1" applyFill="1" applyBorder="1" applyAlignment="1">
      <alignment horizontal="center" vertical="center"/>
    </xf>
    <xf numFmtId="2" fontId="5" fillId="7" borderId="13" xfId="0" applyNumberFormat="1" applyFont="1" applyFill="1" applyBorder="1" applyAlignment="1">
      <alignment vertical="center"/>
    </xf>
    <xf numFmtId="2" fontId="5" fillId="7" borderId="15" xfId="0" applyNumberFormat="1" applyFont="1" applyFill="1" applyBorder="1" applyAlignment="1">
      <alignment vertical="center"/>
    </xf>
    <xf numFmtId="0" fontId="3" fillId="7" borderId="13" xfId="0" applyFont="1" applyFill="1" applyBorder="1" applyAlignment="1">
      <alignment vertical="center"/>
    </xf>
    <xf numFmtId="2" fontId="5" fillId="7" borderId="14" xfId="0" applyNumberFormat="1" applyFont="1" applyFill="1" applyBorder="1" applyAlignment="1">
      <alignment vertical="center"/>
    </xf>
    <xf numFmtId="2" fontId="9" fillId="4" borderId="16" xfId="0" applyNumberFormat="1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/>
    </xf>
    <xf numFmtId="2" fontId="3" fillId="2" borderId="17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vertical="center"/>
    </xf>
    <xf numFmtId="2" fontId="7" fillId="0" borderId="11" xfId="0" applyNumberFormat="1" applyFont="1" applyBorder="1"/>
    <xf numFmtId="0" fontId="7" fillId="0" borderId="5" xfId="0" applyNumberFormat="1" applyFont="1" applyBorder="1"/>
    <xf numFmtId="0" fontId="7" fillId="0" borderId="10" xfId="0" pivotButton="1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12" fillId="3" borderId="22" xfId="0" applyFont="1" applyFill="1" applyBorder="1" applyAlignment="1">
      <alignment horizontal="right"/>
    </xf>
    <xf numFmtId="0" fontId="12" fillId="3" borderId="23" xfId="0" applyFont="1" applyFill="1" applyBorder="1" applyAlignment="1">
      <alignment horizontal="right"/>
    </xf>
    <xf numFmtId="0" fontId="12" fillId="3" borderId="24" xfId="0" applyFont="1" applyFill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3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2" formatCode="0.00"/>
    </dxf>
    <dxf>
      <numFmt numFmtId="2" formatCode="0.00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2" formatCode="0.00"/>
    </dxf>
    <dxf>
      <numFmt numFmtId="2" formatCode="0.00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" formatCode="0"/>
    </dxf>
    <dxf>
      <numFmt numFmtId="2" formatCode="0.00"/>
    </dxf>
    <dxf>
      <numFmt numFmtId="2" formatCode="0.00"/>
    </dxf>
    <dxf>
      <font>
        <sz val="12"/>
      </font>
    </dxf>
    <dxf>
      <numFmt numFmtId="168" formatCode="dddd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2" formatCode="0.00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2" formatCode="0.00"/>
    </dxf>
    <dxf>
      <numFmt numFmtId="2" formatCode="0.00"/>
    </dxf>
    <dxf>
      <font>
        <sz val="12"/>
      </font>
    </dxf>
    <dxf>
      <border>
        <top/>
      </border>
    </dxf>
    <dxf>
      <border>
        <right/>
      </border>
    </dxf>
    <dxf>
      <border>
        <right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2" formatCode="0.00"/>
    </dxf>
    <dxf>
      <numFmt numFmtId="2" formatCode="0.00"/>
    </dxf>
    <dxf>
      <font>
        <sz val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00000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274B0"/>
      <color rgb="FFFFFF8F"/>
      <color rgb="FF00CC00"/>
      <color rgb="FFFFFFBD"/>
      <color rgb="FFFFFFDD"/>
      <color rgb="FFFFFFCC"/>
      <color rgb="FFFEF1E6"/>
      <color rgb="FFE9F4E8"/>
      <color rgb="FFC5E2C4"/>
      <color rgb="FFDCE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Expectancy (ticks)</c:v>
          </c:tx>
          <c:spPr>
            <a:solidFill>
              <a:srgbClr val="00CC00"/>
            </a:solidFill>
            <a:ln>
              <a:noFill/>
            </a:ln>
            <a:effectLst/>
          </c:spPr>
          <c:invertIfNegative val="1"/>
          <c:val>
            <c:numRef>
              <c:f>Log!$Y$3:$Y$66</c:f>
              <c:numCache>
                <c:formatCode>0.00</c:formatCode>
                <c:ptCount val="64"/>
                <c:pt idx="0">
                  <c:v>12.000000000000899</c:v>
                </c:pt>
                <c:pt idx="1">
                  <c:v>8.0000000000013394</c:v>
                </c:pt>
                <c:pt idx="2">
                  <c:v>2.00000000000052</c:v>
                </c:pt>
                <c:pt idx="3">
                  <c:v>-0.99999999999988987</c:v>
                </c:pt>
                <c:pt idx="4">
                  <c:v>0.19999999999997797</c:v>
                </c:pt>
                <c:pt idx="5">
                  <c:v>0.99999999999988987</c:v>
                </c:pt>
                <c:pt idx="6">
                  <c:v>-0.71428571428563559</c:v>
                </c:pt>
                <c:pt idx="7">
                  <c:v>-1.9999999999997797</c:v>
                </c:pt>
                <c:pt idx="8">
                  <c:v>-0.44444444444414877</c:v>
                </c:pt>
                <c:pt idx="9">
                  <c:v>0.40000000000040004</c:v>
                </c:pt>
                <c:pt idx="10">
                  <c:v>2.0000000000003855</c:v>
                </c:pt>
                <c:pt idx="11">
                  <c:v>3.0000000000004099</c:v>
                </c:pt>
                <c:pt idx="12">
                  <c:v>2.9230769230772844</c:v>
                </c:pt>
                <c:pt idx="13">
                  <c:v>2.857142857143177</c:v>
                </c:pt>
                <c:pt idx="14">
                  <c:v>3.733333333333662</c:v>
                </c:pt>
                <c:pt idx="15">
                  <c:v>3.8750000000004059</c:v>
                </c:pt>
                <c:pt idx="16">
                  <c:v>2.823529411765048</c:v>
                </c:pt>
                <c:pt idx="17">
                  <c:v>1.8888888888891746</c:v>
                </c:pt>
                <c:pt idx="18">
                  <c:v>2.3157894736844233</c:v>
                </c:pt>
                <c:pt idx="19">
                  <c:v>2.4500000000001747</c:v>
                </c:pt>
                <c:pt idx="20">
                  <c:v>1.3809523809525466</c:v>
                </c:pt>
                <c:pt idx="21">
                  <c:v>0.40909090909106638</c:v>
                </c:pt>
                <c:pt idx="22">
                  <c:v>-4.3478260869366882E-2</c:v>
                </c:pt>
                <c:pt idx="23">
                  <c:v>-0.45833333333309739</c:v>
                </c:pt>
                <c:pt idx="24">
                  <c:v>8.0000000000258073E-2</c:v>
                </c:pt>
                <c:pt idx="25">
                  <c:v>0.38461538461559885</c:v>
                </c:pt>
                <c:pt idx="26">
                  <c:v>0.96296296296318629</c:v>
                </c:pt>
                <c:pt idx="27">
                  <c:v>1.4285714285716682</c:v>
                </c:pt>
                <c:pt idx="28">
                  <c:v>1.7931034482760477</c:v>
                </c:pt>
                <c:pt idx="29">
                  <c:v>1.9000000000001611</c:v>
                </c:pt>
                <c:pt idx="30">
                  <c:v>1.9032258064517618</c:v>
                </c:pt>
                <c:pt idx="31">
                  <c:v>1.9062500000001372</c:v>
                </c:pt>
                <c:pt idx="32">
                  <c:v>2.2727272727274266</c:v>
                </c:pt>
                <c:pt idx="33">
                  <c:v>2.4705882352943034</c:v>
                </c:pt>
                <c:pt idx="34">
                  <c:v>2.9142857142859016</c:v>
                </c:pt>
                <c:pt idx="35">
                  <c:v>3.2500000000001976</c:v>
                </c:pt>
                <c:pt idx="36">
                  <c:v>2.7027027027028856</c:v>
                </c:pt>
                <c:pt idx="37">
                  <c:v>2.1842105263159586</c:v>
                </c:pt>
                <c:pt idx="38">
                  <c:v>1.6923076923078482</c:v>
                </c:pt>
                <c:pt idx="39">
                  <c:v>1.2250000000001433</c:v>
                </c:pt>
                <c:pt idx="40">
                  <c:v>1.2195121951220884</c:v>
                </c:pt>
                <c:pt idx="41">
                  <c:v>1.2142857142858456</c:v>
                </c:pt>
                <c:pt idx="42">
                  <c:v>1.5348837209303225</c:v>
                </c:pt>
                <c:pt idx="43">
                  <c:v>2.5000000000000786</c:v>
                </c:pt>
                <c:pt idx="44">
                  <c:v>2.2000000000000544</c:v>
                </c:pt>
                <c:pt idx="45">
                  <c:v>1.9130434782609007</c:v>
                </c:pt>
                <c:pt idx="46">
                  <c:v>1.6382978723404817</c:v>
                </c:pt>
                <c:pt idx="47">
                  <c:v>1.3750000000000802</c:v>
                </c:pt>
                <c:pt idx="48">
                  <c:v>1.5714285714286707</c:v>
                </c:pt>
                <c:pt idx="49">
                  <c:v>1.6800000000001263</c:v>
                </c:pt>
                <c:pt idx="50">
                  <c:v>1.7647058823530954</c:v>
                </c:pt>
                <c:pt idx="51">
                  <c:v>1.7307692307693823</c:v>
                </c:pt>
                <c:pt idx="52">
                  <c:v>1.433962264151079</c:v>
                </c:pt>
                <c:pt idx="53">
                  <c:v>1.1481481481482687</c:v>
                </c:pt>
                <c:pt idx="54">
                  <c:v>1.6363636363637393</c:v>
                </c:pt>
                <c:pt idx="55">
                  <c:v>2.1071428571429425</c:v>
                </c:pt>
                <c:pt idx="56">
                  <c:v>1.8947368421053663</c:v>
                </c:pt>
                <c:pt idx="57">
                  <c:v>1.6896551724139137</c:v>
                </c:pt>
                <c:pt idx="58">
                  <c:v>1.4915254237289131</c:v>
                </c:pt>
                <c:pt idx="59">
                  <c:v>1.3000000000000791</c:v>
                </c:pt>
                <c:pt idx="60">
                  <c:v>1.295081967213227</c:v>
                </c:pt>
                <c:pt idx="61">
                  <c:v>1.2903225806453056</c:v>
                </c:pt>
                <c:pt idx="62">
                  <c:v>1.5079365079366591</c:v>
                </c:pt>
                <c:pt idx="63">
                  <c:v>2.0468750000001563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C00000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71376"/>
        <c:axId val="281367520"/>
      </c:barChart>
      <c:lineChart>
        <c:grouping val="standard"/>
        <c:varyColors val="0"/>
        <c:ser>
          <c:idx val="0"/>
          <c:order val="0"/>
          <c:tx>
            <c:v>Running P/L (ticks)</c:v>
          </c:tx>
          <c:spPr>
            <a:ln w="19050" cap="rnd">
              <a:solidFill>
                <a:schemeClr val="bg1">
                  <a:alpha val="55000"/>
                </a:schemeClr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5"/>
            <c:spPr>
              <a:solidFill>
                <a:srgbClr val="FFFF8F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dPt>
            <c:idx val="37"/>
            <c:bubble3D val="0"/>
            <c:spPr>
              <a:ln w="19050" cap="rnd">
                <a:solidFill>
                  <a:schemeClr val="bg1">
                    <a:alpha val="60000"/>
                  </a:schemeClr>
                </a:solidFill>
                <a:round/>
              </a:ln>
              <a:effectLst>
                <a:outerShdw dist="25400" dir="2700000" algn="tl" rotWithShape="0">
                  <a:schemeClr val="accent1"/>
                </a:outerShdw>
              </a:effectLst>
            </c:spPr>
          </c:dPt>
          <c:trendline>
            <c:spPr>
              <a:ln w="19050" cap="rnd">
                <a:solidFill>
                  <a:schemeClr val="tx1"/>
                </a:solidFill>
                <a:prstDash val="sysDash"/>
                <a:round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Log!$W$3:$W$66</c:f>
              <c:numCache>
                <c:formatCode>General</c:formatCode>
                <c:ptCount val="64"/>
                <c:pt idx="0">
                  <c:v>12.000000000000899</c:v>
                </c:pt>
                <c:pt idx="1">
                  <c:v>16.000000000002679</c:v>
                </c:pt>
                <c:pt idx="2">
                  <c:v>6.0000000000015596</c:v>
                </c:pt>
                <c:pt idx="3">
                  <c:v>-3.9999999999995595</c:v>
                </c:pt>
                <c:pt idx="4">
                  <c:v>0.99999999999988987</c:v>
                </c:pt>
                <c:pt idx="5">
                  <c:v>5.9999999999993392</c:v>
                </c:pt>
                <c:pt idx="6">
                  <c:v>-4.9999999999994493</c:v>
                </c:pt>
                <c:pt idx="7">
                  <c:v>-15.999999999998238</c:v>
                </c:pt>
                <c:pt idx="8">
                  <c:v>-3.999999999997339</c:v>
                </c:pt>
                <c:pt idx="9">
                  <c:v>4.0000000000040004</c:v>
                </c:pt>
                <c:pt idx="10">
                  <c:v>22.000000000004238</c:v>
                </c:pt>
                <c:pt idx="11">
                  <c:v>36.000000000004917</c:v>
                </c:pt>
                <c:pt idx="12">
                  <c:v>38.000000000004697</c:v>
                </c:pt>
                <c:pt idx="13">
                  <c:v>40.000000000004476</c:v>
                </c:pt>
                <c:pt idx="14">
                  <c:v>56.000000000004931</c:v>
                </c:pt>
                <c:pt idx="15">
                  <c:v>62.000000000006494</c:v>
                </c:pt>
                <c:pt idx="16">
                  <c:v>48.000000000005819</c:v>
                </c:pt>
                <c:pt idx="17">
                  <c:v>34.000000000005144</c:v>
                </c:pt>
                <c:pt idx="18">
                  <c:v>44.000000000004043</c:v>
                </c:pt>
                <c:pt idx="19">
                  <c:v>49.000000000003496</c:v>
                </c:pt>
                <c:pt idx="20">
                  <c:v>29.000000000003478</c:v>
                </c:pt>
                <c:pt idx="21">
                  <c:v>9.0000000000034603</c:v>
                </c:pt>
                <c:pt idx="22">
                  <c:v>-0.99999999999543832</c:v>
                </c:pt>
                <c:pt idx="23">
                  <c:v>-10.999999999994337</c:v>
                </c:pt>
                <c:pt idx="24">
                  <c:v>2.0000000000064517</c:v>
                </c:pt>
                <c:pt idx="25">
                  <c:v>10.000000000005571</c:v>
                </c:pt>
                <c:pt idx="26">
                  <c:v>26.000000000006029</c:v>
                </c:pt>
                <c:pt idx="27">
                  <c:v>40.000000000006708</c:v>
                </c:pt>
                <c:pt idx="28">
                  <c:v>52.000000000005386</c:v>
                </c:pt>
                <c:pt idx="29">
                  <c:v>57.000000000004832</c:v>
                </c:pt>
                <c:pt idx="30">
                  <c:v>59.000000000004611</c:v>
                </c:pt>
                <c:pt idx="31">
                  <c:v>61.000000000004391</c:v>
                </c:pt>
                <c:pt idx="32">
                  <c:v>75.000000000005073</c:v>
                </c:pt>
                <c:pt idx="33">
                  <c:v>84.00000000000631</c:v>
                </c:pt>
                <c:pt idx="34">
                  <c:v>102.00000000000655</c:v>
                </c:pt>
                <c:pt idx="35">
                  <c:v>117.00000000000712</c:v>
                </c:pt>
                <c:pt idx="36">
                  <c:v>100.00000000000676</c:v>
                </c:pt>
                <c:pt idx="37">
                  <c:v>83.000000000006423</c:v>
                </c:pt>
                <c:pt idx="38">
                  <c:v>66.000000000006082</c:v>
                </c:pt>
                <c:pt idx="39">
                  <c:v>49.000000000005734</c:v>
                </c:pt>
                <c:pt idx="40">
                  <c:v>50.000000000005627</c:v>
                </c:pt>
                <c:pt idx="41">
                  <c:v>51.000000000005514</c:v>
                </c:pt>
                <c:pt idx="42">
                  <c:v>66.000000000003865</c:v>
                </c:pt>
                <c:pt idx="43">
                  <c:v>110.00000000000345</c:v>
                </c:pt>
                <c:pt idx="44">
                  <c:v>99.000000000002444</c:v>
                </c:pt>
                <c:pt idx="45">
                  <c:v>88.000000000001435</c:v>
                </c:pt>
                <c:pt idx="46">
                  <c:v>77.000000000002643</c:v>
                </c:pt>
                <c:pt idx="47">
                  <c:v>66.000000000003851</c:v>
                </c:pt>
                <c:pt idx="48">
                  <c:v>77.00000000000486</c:v>
                </c:pt>
                <c:pt idx="49">
                  <c:v>84.00000000000631</c:v>
                </c:pt>
                <c:pt idx="50">
                  <c:v>90.000000000007873</c:v>
                </c:pt>
                <c:pt idx="51">
                  <c:v>90.000000000007873</c:v>
                </c:pt>
                <c:pt idx="52">
                  <c:v>76.000000000007191</c:v>
                </c:pt>
                <c:pt idx="53">
                  <c:v>62.000000000006516</c:v>
                </c:pt>
                <c:pt idx="54">
                  <c:v>90.000000000005656</c:v>
                </c:pt>
                <c:pt idx="55">
                  <c:v>118.00000000000479</c:v>
                </c:pt>
                <c:pt idx="56">
                  <c:v>108.00000000000588</c:v>
                </c:pt>
                <c:pt idx="57">
                  <c:v>98.000000000006992</c:v>
                </c:pt>
                <c:pt idx="58">
                  <c:v>88.000000000005869</c:v>
                </c:pt>
                <c:pt idx="59">
                  <c:v>78.000000000004746</c:v>
                </c:pt>
                <c:pt idx="60">
                  <c:v>79.00000000000685</c:v>
                </c:pt>
                <c:pt idx="61">
                  <c:v>80.000000000008953</c:v>
                </c:pt>
                <c:pt idx="62">
                  <c:v>95.000000000009521</c:v>
                </c:pt>
                <c:pt idx="63">
                  <c:v>131.00000000001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176"/>
        <c:axId val="281824664"/>
      </c:lineChart>
      <c:catAx>
        <c:axId val="5290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bg1">
                  <a:alpha val="10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Trade</a:t>
                </a:r>
                <a:r>
                  <a:rPr lang="en-US" baseline="0"/>
                  <a:t> #</a:t>
                </a:r>
              </a:p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824664"/>
        <c:crosses val="autoZero"/>
        <c:auto val="1"/>
        <c:lblAlgn val="ctr"/>
        <c:lblOffset val="100"/>
        <c:tickMarkSkip val="3"/>
        <c:noMultiLvlLbl val="0"/>
      </c:catAx>
      <c:valAx>
        <c:axId val="28182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alpha val="10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Running</a:t>
                </a:r>
                <a:r>
                  <a:rPr lang="en-US" baseline="0"/>
                  <a:t> </a:t>
                </a:r>
                <a:r>
                  <a:rPr lang="en-US"/>
                  <a:t>P/L (ticks)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0176"/>
        <c:crosses val="autoZero"/>
        <c:crossBetween val="midCat"/>
      </c:valAx>
      <c:valAx>
        <c:axId val="2813675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Expectancy (ticks)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out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471376"/>
        <c:crosses val="max"/>
        <c:crossBetween val="between"/>
      </c:valAx>
      <c:catAx>
        <c:axId val="23247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136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alpha val="25000"/>
            </a:schemeClr>
          </a:solidFill>
        </a:ln>
        <a:effectLst/>
      </c:spPr>
    </c:plotArea>
    <c:legend>
      <c:legendPos val="t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4"/>
  </sheetPr>
  <sheetViews>
    <sheetView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K" refreshedDate="41740.704033680558" createdVersion="5" refreshedVersion="5" minRefreshableVersion="3" recordCount="98">
  <cacheSource type="worksheet">
    <worksheetSource ref="A2:AB100" sheet="Log"/>
  </cacheSource>
  <cacheFields count="28">
    <cacheField name="Trade #" numFmtId="0">
      <sharedItems containsString="0" containsBlank="1" containsNumber="1" containsInteger="1" minValue="1" maxValue="32"/>
    </cacheField>
    <cacheField name="Market pos." numFmtId="0">
      <sharedItems containsBlank="1"/>
    </cacheField>
    <cacheField name="Quantity" numFmtId="0">
      <sharedItems containsString="0" containsBlank="1" containsNumber="1" containsInteger="1" minValue="1" maxValue="1"/>
    </cacheField>
    <cacheField name="Entry price" numFmtId="165">
      <sharedItems containsString="0" containsBlank="1" containsNumber="1" minValue="1.6476" maxValue="1.679"/>
    </cacheField>
    <cacheField name="Exit price" numFmtId="165">
      <sharedItems containsString="0" containsBlank="1" containsNumber="1" minValue="1.6472" maxValue="1.6779999999999999"/>
    </cacheField>
    <cacheField name="Entry time" numFmtId="164">
      <sharedItems containsNonDate="0" containsDate="1" containsString="0" containsBlank="1" minDate="2014-03-03T03:00:10" maxDate="2014-04-11T05:13:46" count="33">
        <d v="2014-03-03T03:00:10"/>
        <d v="2014-03-04T05:03:42"/>
        <d v="2014-03-05T03:10:00"/>
        <d v="2014-03-06T04:12:27"/>
        <d v="2014-03-06T07:01:16"/>
        <d v="2014-03-07T03:42:15"/>
        <d v="2014-03-11T04:32:53"/>
        <d v="2014-03-12T04:04:06"/>
        <d v="2014-03-13T03:06:41"/>
        <d v="2014-03-13T05:19:51"/>
        <d v="2014-03-14T03:15:43"/>
        <d v="2014-03-17T05:05:11"/>
        <d v="2014-03-17T07:26:04"/>
        <d v="2014-03-18T03:45:49"/>
        <d v="2014-03-19T04:01:32"/>
        <d v="2014-03-20T04:07:25"/>
        <d v="2014-03-20T06:00:38"/>
        <d v="2014-03-21T03:12:27"/>
        <d v="2014-03-24T04:00:00"/>
        <d v="2014-03-25T03:46:22"/>
        <d v="2014-03-26T04:04:23"/>
        <d v="2014-03-27T05:21:11"/>
        <d v="2014-03-31T04:46:18"/>
        <d v="2014-04-01T05:00:56"/>
        <d v="2014-04-02T03:51:41"/>
        <d v="2014-04-03T03:09:21"/>
        <d v="2014-04-07T03:42:44"/>
        <d v="2014-04-08T04:30:00"/>
        <d v="2014-04-09T03:10:40"/>
        <d v="2014-04-09T03:06:53"/>
        <d v="2014-04-11T04:09:51"/>
        <d v="2014-04-11T05:13:46"/>
        <m/>
      </sharedItems>
      <fieldGroup base="5">
        <rangePr groupBy="days" startDate="2014-03-03T03:00:10" endDate="2014-04-11T05:13:46"/>
        <groupItems count="368">
          <s v="(blank)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4/11/2014"/>
        </groupItems>
      </fieldGroup>
    </cacheField>
    <cacheField name="Exit time" numFmtId="164">
      <sharedItems containsNonDate="0" containsDate="1" containsString="0" containsBlank="1" minDate="2014-03-03T04:13:46" maxDate="2014-04-11T07:42:54"/>
    </cacheField>
    <cacheField name="MAE" numFmtId="164">
      <sharedItems containsNonDate="0" containsString="0" containsBlank="1"/>
    </cacheField>
    <cacheField name="MFE" numFmtId="164">
      <sharedItems containsNonDate="0" containsString="0" containsBlank="1"/>
    </cacheField>
    <cacheField name="Entry name" numFmtId="0">
      <sharedItems containsBlank="1"/>
    </cacheField>
    <cacheField name="Exit name" numFmtId="0">
      <sharedItems containsBlank="1"/>
    </cacheField>
    <cacheField name="Day of Week" numFmtId="167">
      <sharedItems containsNonDate="0" containsDate="1" containsString="0" containsBlank="1" minDate="1900-01-01T00:00:00" maxDate="1900-01-06T00:00:00"/>
    </cacheField>
    <cacheField name="Entry Time 15min Bar" numFmtId="166">
      <sharedItems containsNonDate="0" containsDate="1" containsString="0" containsBlank="1" minDate="1899-12-30T03:00:00" maxDate="1899-12-30T07:15:00" count="13">
        <d v="1899-12-30T03:00:00"/>
        <d v="1899-12-30T05:00:00"/>
        <d v="1899-12-30T04:00:00"/>
        <d v="1899-12-30T07:00:00"/>
        <d v="1899-12-30T03:30:00"/>
        <d v="1899-12-30T04:30:00"/>
        <d v="1899-12-30T05:15:00"/>
        <d v="1899-12-30T03:15:00"/>
        <d v="1899-12-30T07:15:00"/>
        <d v="1899-12-30T03:45:00"/>
        <d v="1899-12-30T06:00:00"/>
        <d v="1899-12-30T04:45:00"/>
        <m/>
      </sharedItems>
    </cacheField>
    <cacheField name="Exit Time 15min Bar" numFmtId="166">
      <sharedItems containsNonDate="0" containsDate="1" containsString="0" containsBlank="1" minDate="1899-12-30T03:00:00" maxDate="1899-12-30T08:30:00"/>
    </cacheField>
    <cacheField name="Length of Trade 5min Bar" numFmtId="1">
      <sharedItems containsString="0" containsBlank="1" containsNumber="1" containsInteger="1" minValue="0" maxValue="145" count="19">
        <n v="70"/>
        <n v="85"/>
        <n v="15"/>
        <n v="0"/>
        <n v="65"/>
        <n v="10"/>
        <n v="30"/>
        <n v="55"/>
        <n v="20"/>
        <n v="45"/>
        <n v="5"/>
        <n v="50"/>
        <n v="100"/>
        <n v="25"/>
        <n v="40"/>
        <n v="35"/>
        <n v="80"/>
        <n v="145"/>
        <m/>
      </sharedItems>
    </cacheField>
    <cacheField name="Profit ($)" numFmtId="2">
      <sharedItems containsString="0" containsBlank="1" containsNumber="1" minValue="-125.00000000000011" maxValue="274.99999999999744"/>
    </cacheField>
    <cacheField name="Cum. profit" numFmtId="0">
      <sharedItems containsString="0" containsBlank="1" containsNumber="1" containsInteger="1" minValue="0" maxValue="0"/>
    </cacheField>
    <cacheField name="Commission" numFmtId="0">
      <sharedItems containsString="0" containsBlank="1" containsNumber="1" containsInteger="1" minValue="0" maxValue="0"/>
    </cacheField>
    <cacheField name="MAE2" numFmtId="0">
      <sharedItems containsString="0" containsBlank="1" containsNumber="1" containsInteger="1" minValue="0" maxValue="0"/>
    </cacheField>
    <cacheField name="MFE2" numFmtId="0">
      <sharedItems containsString="0" containsBlank="1" containsNumber="1" containsInteger="1" minValue="0" maxValue="0"/>
    </cacheField>
    <cacheField name="ETD" numFmtId="0">
      <sharedItems containsString="0" containsBlank="1" containsNumber="1" containsInteger="1" minValue="0" maxValue="0"/>
    </cacheField>
    <cacheField name="Bars" numFmtId="0">
      <sharedItems containsString="0" containsBlank="1" containsNumber="1" containsInteger="1" minValue="0" maxValue="0"/>
    </cacheField>
    <cacheField name="Running P/L (ticks)" numFmtId="0">
      <sharedItems containsString="0" containsBlank="1" containsNumber="1" minValue="-15.999999999998238" maxValue="131.00000000001"/>
    </cacheField>
    <cacheField name="Equity Bars" numFmtId="0">
      <sharedItems containsString="0" containsBlank="1" containsNumber="1" minValue="-15.999999999998238" maxValue="131.00000000001"/>
    </cacheField>
    <cacheField name="Running Expectancy (ticks/lot)" numFmtId="2">
      <sharedItems containsString="0" containsBlank="1" containsNumber="1" minValue="-1.9999999999997797" maxValue="12.000000000000899"/>
    </cacheField>
    <cacheField name="Streak" numFmtId="2">
      <sharedItems containsString="0" containsBlank="1" containsNumber="1" minValue="-425.0000000000087" maxValue="800.00000000000909"/>
    </cacheField>
    <cacheField name="Error" numFmtId="0">
      <sharedItems containsNonDate="0" containsString="0"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K" refreshedDate="41740.70913599537" createdVersion="5" refreshedVersion="5" minRefreshableVersion="3" recordCount="98">
  <cacheSource type="worksheet">
    <worksheetSource ref="B2:AB100" sheet="Log"/>
  </cacheSource>
  <cacheFields count="27">
    <cacheField name="Market pos." numFmtId="0">
      <sharedItems containsBlank="1"/>
    </cacheField>
    <cacheField name="Quantity" numFmtId="0">
      <sharedItems containsString="0" containsBlank="1" containsNumber="1" containsInteger="1" minValue="1" maxValue="1"/>
    </cacheField>
    <cacheField name="Entry price" numFmtId="165">
      <sharedItems containsString="0" containsBlank="1" containsNumber="1" minValue="1.6476" maxValue="1.679"/>
    </cacheField>
    <cacheField name="Exit price" numFmtId="165">
      <sharedItems containsString="0" containsBlank="1" containsNumber="1" minValue="1.6472" maxValue="1.6779999999999999"/>
    </cacheField>
    <cacheField name="Entry time" numFmtId="164">
      <sharedItems containsNonDate="0" containsDate="1" containsString="0" containsBlank="1" minDate="2014-03-03T03:00:10" maxDate="2014-04-11T05:13:46"/>
    </cacheField>
    <cacheField name="Exit time" numFmtId="164">
      <sharedItems containsNonDate="0" containsDate="1" containsString="0" containsBlank="1" minDate="2014-03-03T04:13:46" maxDate="2014-04-11T07:42:54"/>
    </cacheField>
    <cacheField name="MAE" numFmtId="164">
      <sharedItems containsNonDate="0" containsString="0" containsBlank="1"/>
    </cacheField>
    <cacheField name="MFE" numFmtId="164">
      <sharedItems containsNonDate="0" containsString="0" containsBlank="1"/>
    </cacheField>
    <cacheField name="Entry name" numFmtId="0">
      <sharedItems containsBlank="1" count="5">
        <s v="JL Cross"/>
        <s v="JL9 Jump"/>
        <s v="50 EMA Jump"/>
        <s v="200 EMA Jump"/>
        <m/>
      </sharedItems>
    </cacheField>
    <cacheField name="Exit name" numFmtId="0">
      <sharedItems containsBlank="1" count="6">
        <s v="T2"/>
        <s v="Trailing Stop"/>
        <s v="Stop"/>
        <s v="Trailing Stop No T2"/>
        <s v="Lock-in"/>
        <m/>
      </sharedItems>
    </cacheField>
    <cacheField name="Day of Week" numFmtId="167">
      <sharedItems containsNonDate="0" containsDate="1" containsString="0" containsBlank="1" minDate="1900-01-01T00:00:00" maxDate="1900-01-06T00:00:00" count="6">
        <d v="1900-01-01T00:00:00"/>
        <d v="1900-01-02T00:00:00"/>
        <d v="1900-01-03T00:00:00"/>
        <d v="1900-01-04T00:00:00"/>
        <d v="1900-01-05T00:00:00"/>
        <m/>
      </sharedItems>
    </cacheField>
    <cacheField name="Entry Time 15min Bar" numFmtId="166">
      <sharedItems containsNonDate="0" containsDate="1" containsString="0" containsBlank="1" minDate="1899-12-30T03:00:00" maxDate="1899-12-30T07:15:00"/>
    </cacheField>
    <cacheField name="Exit Time 15min Bar" numFmtId="166">
      <sharedItems containsNonDate="0" containsDate="1" containsString="0" containsBlank="1" minDate="1899-12-30T03:00:00" maxDate="1899-12-30T08:30:00"/>
    </cacheField>
    <cacheField name="Length of Trade 5min Bar" numFmtId="1">
      <sharedItems containsString="0" containsBlank="1" containsNumber="1" containsInteger="1" minValue="0" maxValue="145"/>
    </cacheField>
    <cacheField name="Profit ($)" numFmtId="2">
      <sharedItems containsString="0" containsBlank="1" containsNumber="1" minValue="-125.00000000000011" maxValue="274.99999999999744"/>
    </cacheField>
    <cacheField name="Cum. profit" numFmtId="0">
      <sharedItems containsString="0" containsBlank="1" containsNumber="1" containsInteger="1" minValue="0" maxValue="0"/>
    </cacheField>
    <cacheField name="Commission" numFmtId="0">
      <sharedItems containsString="0" containsBlank="1" containsNumber="1" containsInteger="1" minValue="0" maxValue="0"/>
    </cacheField>
    <cacheField name="MAE2" numFmtId="0">
      <sharedItems containsString="0" containsBlank="1" containsNumber="1" containsInteger="1" minValue="0" maxValue="0"/>
    </cacheField>
    <cacheField name="MFE2" numFmtId="0">
      <sharedItems containsString="0" containsBlank="1" containsNumber="1" containsInteger="1" minValue="0" maxValue="0"/>
    </cacheField>
    <cacheField name="ETD" numFmtId="0">
      <sharedItems containsString="0" containsBlank="1" containsNumber="1" containsInteger="1" minValue="0" maxValue="0"/>
    </cacheField>
    <cacheField name="Bars" numFmtId="0">
      <sharedItems containsString="0" containsBlank="1" containsNumber="1" containsInteger="1" minValue="0" maxValue="0"/>
    </cacheField>
    <cacheField name="Running P/L (ticks)" numFmtId="0">
      <sharedItems containsString="0" containsBlank="1" containsNumber="1" minValue="-15.999999999998238" maxValue="131.00000000001"/>
    </cacheField>
    <cacheField name="Equity Bars" numFmtId="0">
      <sharedItems containsString="0" containsBlank="1" containsNumber="1" minValue="-15.999999999998238" maxValue="131.00000000001"/>
    </cacheField>
    <cacheField name="Running Expectancy (ticks/lot)" numFmtId="2">
      <sharedItems containsString="0" containsBlank="1" containsNumber="1" minValue="-1.9999999999997797" maxValue="12.000000000000899"/>
    </cacheField>
    <cacheField name="Streak" numFmtId="2">
      <sharedItems containsString="0" containsBlank="1" containsNumber="1" minValue="-425.0000000000087" maxValue="800.00000000000909"/>
    </cacheField>
    <cacheField name="Error" numFmtId="0">
      <sharedItems containsNonDate="0" containsString="0"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n v="1"/>
    <s v="Short"/>
    <n v="1"/>
    <n v="1.6705000000000001"/>
    <n v="1.6693"/>
    <x v="0"/>
    <d v="2014-03-03T04:13:46"/>
    <m/>
    <m/>
    <s v="JL Cross"/>
    <s v="T2"/>
    <d v="1900-01-01T00:00:00"/>
    <x v="0"/>
    <d v="1899-12-30T04:00:00"/>
    <x v="0"/>
    <n v="75.000000000005613"/>
    <n v="0"/>
    <n v="0"/>
    <n v="0"/>
    <n v="0"/>
    <n v="0"/>
    <n v="0"/>
    <n v="12.000000000000899"/>
    <n v="12.000000000000899"/>
    <n v="12.000000000000899"/>
    <n v="75.000000000005613"/>
    <m/>
    <s v="GIS"/>
  </r>
  <r>
    <n v="1"/>
    <s v="Short"/>
    <n v="1"/>
    <n v="1.6705000000000001"/>
    <n v="1.6700999999999999"/>
    <x v="0"/>
    <d v="2014-03-03T04:28:03"/>
    <m/>
    <m/>
    <s v="JL Cross"/>
    <s v="Trailing Stop"/>
    <d v="1900-01-01T00:00:00"/>
    <x v="0"/>
    <d v="1899-12-30T04:15:00"/>
    <x v="1"/>
    <n v="25.000000000011124"/>
    <m/>
    <m/>
    <m/>
    <m/>
    <m/>
    <m/>
    <n v="16.000000000002679"/>
    <n v="16.000000000002679"/>
    <n v="8.0000000000013394"/>
    <n v="100.00000000001674"/>
    <m/>
    <s v="GIS"/>
  </r>
  <r>
    <n v="2"/>
    <s v="Short"/>
    <n v="1"/>
    <n v="1.6657999999999999"/>
    <n v="1.6668000000000001"/>
    <x v="1"/>
    <d v="2014-03-04T05:21:56"/>
    <m/>
    <m/>
    <s v="JL9 Jump"/>
    <s v="Stop"/>
    <d v="1900-01-02T00:00:00"/>
    <x v="1"/>
    <d v="1899-12-30T05:15:00"/>
    <x v="2"/>
    <n v="-62.500000000006992"/>
    <m/>
    <m/>
    <m/>
    <m/>
    <m/>
    <m/>
    <n v="6.0000000000015596"/>
    <n v="6.0000000000015596"/>
    <n v="2.00000000000052"/>
    <n v="-62.500000000006992"/>
    <m/>
    <m/>
  </r>
  <r>
    <n v="2"/>
    <s v="Short"/>
    <n v="1"/>
    <n v="1.6657999999999999"/>
    <n v="1.6668000000000001"/>
    <x v="1"/>
    <d v="2014-03-04T05:21:56"/>
    <m/>
    <m/>
    <s v="JL9 Jump"/>
    <s v="Stop"/>
    <d v="1900-01-02T00:00:00"/>
    <x v="1"/>
    <d v="1899-12-30T05:15:00"/>
    <x v="2"/>
    <n v="-62.500000000006992"/>
    <m/>
    <m/>
    <m/>
    <m/>
    <m/>
    <m/>
    <n v="-3.9999999999995595"/>
    <n v="-3.9999999999995595"/>
    <n v="-0.99999999999988987"/>
    <n v="-125.00000000001398"/>
    <m/>
    <m/>
  </r>
  <r>
    <n v="3"/>
    <s v="Long"/>
    <n v="1"/>
    <n v="1.6665000000000001"/>
    <n v="1.667"/>
    <x v="2"/>
    <d v="2014-03-05T03:10:00"/>
    <m/>
    <m/>
    <s v="50 EMA Jump"/>
    <s v="Trailing Stop No T2"/>
    <d v="1900-01-03T00:00:00"/>
    <x v="0"/>
    <d v="1899-12-30T03:00:00"/>
    <x v="3"/>
    <n v="31.249999999996557"/>
    <m/>
    <m/>
    <m/>
    <m/>
    <m/>
    <m/>
    <n v="0.99999999999988987"/>
    <n v="0.99999999999988987"/>
    <n v="0.19999999999997797"/>
    <n v="31.249999999996557"/>
    <m/>
    <m/>
  </r>
  <r>
    <n v="3"/>
    <s v="Long"/>
    <n v="1"/>
    <n v="1.6665000000000001"/>
    <n v="1.667"/>
    <x v="2"/>
    <d v="2014-03-05T04:17:41"/>
    <m/>
    <m/>
    <s v="50 EMA Jump"/>
    <s v="Trailing Stop No T2"/>
    <d v="1900-01-03T00:00:00"/>
    <x v="0"/>
    <d v="1899-12-30T04:15:00"/>
    <x v="4"/>
    <n v="31.249999999996557"/>
    <m/>
    <m/>
    <m/>
    <m/>
    <m/>
    <m/>
    <n v="5.9999999999993392"/>
    <n v="5.9999999999993392"/>
    <n v="0.99999999999988987"/>
    <n v="62.499999999993115"/>
    <m/>
    <m/>
  </r>
  <r>
    <n v="4"/>
    <s v="Short"/>
    <n v="1"/>
    <n v="1.6692"/>
    <n v="1.6702999999999999"/>
    <x v="3"/>
    <d v="2014-03-06T04:25:40"/>
    <m/>
    <m/>
    <s v="JL Cross"/>
    <s v="Stop"/>
    <d v="1900-01-04T00:00:00"/>
    <x v="2"/>
    <d v="1899-12-30T04:15:00"/>
    <x v="5"/>
    <n v="-68.749999999992426"/>
    <m/>
    <m/>
    <m/>
    <m/>
    <m/>
    <m/>
    <n v="-4.9999999999994493"/>
    <n v="-4.9999999999994493"/>
    <n v="-0.71428571428563559"/>
    <n v="-68.749999999992426"/>
    <m/>
    <m/>
  </r>
  <r>
    <n v="4"/>
    <s v="Short"/>
    <n v="1"/>
    <n v="1.6692"/>
    <n v="1.6702999999999999"/>
    <x v="3"/>
    <d v="2014-03-06T04:25:40"/>
    <m/>
    <m/>
    <s v="JL Cross"/>
    <s v="Stop"/>
    <d v="1900-01-04T00:00:00"/>
    <x v="2"/>
    <d v="1899-12-30T04:15:00"/>
    <x v="5"/>
    <n v="-68.749999999992426"/>
    <m/>
    <m/>
    <m/>
    <m/>
    <m/>
    <m/>
    <n v="-15.999999999998238"/>
    <n v="-15.999999999998238"/>
    <n v="-1.9999999999997797"/>
    <n v="-137.49999999998485"/>
    <m/>
    <m/>
  </r>
  <r>
    <n v="5"/>
    <s v="Long"/>
    <n v="1"/>
    <n v="1.6718999999999999"/>
    <n v="1.6731"/>
    <x v="4"/>
    <d v="2014-03-06T07:01:19"/>
    <m/>
    <m/>
    <s v="JL Cross"/>
    <s v="T2"/>
    <d v="1900-01-04T00:00:00"/>
    <x v="3"/>
    <d v="1899-12-30T07:00:00"/>
    <x v="3"/>
    <n v="75.000000000005613"/>
    <m/>
    <m/>
    <m/>
    <m/>
    <m/>
    <m/>
    <n v="-3.999999999997339"/>
    <n v="-3.999999999997339"/>
    <n v="-0.44444444444414877"/>
    <n v="75.000000000005613"/>
    <m/>
    <m/>
  </r>
  <r>
    <n v="5"/>
    <s v="Long"/>
    <n v="1"/>
    <n v="1.6718999999999999"/>
    <n v="1.6727000000000001"/>
    <x v="4"/>
    <d v="2014-03-06T07:02:10"/>
    <m/>
    <m/>
    <s v="JL Cross"/>
    <s v="Trailing Stop"/>
    <d v="1900-01-04T00:00:00"/>
    <x v="3"/>
    <d v="1899-12-30T07:00:00"/>
    <x v="3"/>
    <n v="50.00000000000837"/>
    <m/>
    <m/>
    <m/>
    <m/>
    <m/>
    <m/>
    <n v="4.0000000000040004"/>
    <n v="4.0000000000040004"/>
    <n v="0.40000000000040004"/>
    <n v="125.00000000001398"/>
    <m/>
    <s v="JL4 Trailed"/>
  </r>
  <r>
    <n v="6"/>
    <s v="Long"/>
    <n v="1"/>
    <n v="1.6735"/>
    <n v="1.6753"/>
    <x v="5"/>
    <d v="2014-03-07T04:14:55"/>
    <m/>
    <m/>
    <s v="JL Cross"/>
    <s v="T2"/>
    <d v="1900-01-05T00:00:00"/>
    <x v="4"/>
    <d v="1899-12-30T04:00:00"/>
    <x v="6"/>
    <n v="112.50000000000149"/>
    <m/>
    <m/>
    <m/>
    <m/>
    <m/>
    <m/>
    <n v="22.000000000004238"/>
    <n v="22.000000000004238"/>
    <n v="2.0000000000003855"/>
    <n v="237.50000000001546"/>
    <m/>
    <m/>
  </r>
  <r>
    <n v="6"/>
    <s v="Long"/>
    <n v="1"/>
    <n v="1.6735"/>
    <n v="1.6749000000000001"/>
    <x v="5"/>
    <d v="2014-03-07T04:37:20"/>
    <m/>
    <m/>
    <s v="JL Cross"/>
    <s v="Trailing Stop"/>
    <d v="1900-01-05T00:00:00"/>
    <x v="4"/>
    <d v="1899-12-30T04:30:00"/>
    <x v="7"/>
    <n v="87.500000000004235"/>
    <m/>
    <m/>
    <m/>
    <m/>
    <m/>
    <m/>
    <n v="36.000000000004917"/>
    <n v="36.000000000004917"/>
    <n v="3.0000000000004099"/>
    <n v="325.00000000001967"/>
    <m/>
    <m/>
  </r>
  <r>
    <n v="7"/>
    <s v="Long"/>
    <n v="1"/>
    <n v="1.6617"/>
    <n v="1.6618999999999999"/>
    <x v="6"/>
    <d v="2014-03-11T04:55:16"/>
    <m/>
    <m/>
    <s v="JL Cross"/>
    <s v="Trailing Stop No T2"/>
    <d v="1900-01-02T00:00:00"/>
    <x v="5"/>
    <d v="1899-12-30T04:45:00"/>
    <x v="8"/>
    <n v="12.499999999998623"/>
    <m/>
    <m/>
    <m/>
    <m/>
    <m/>
    <m/>
    <n v="38.000000000004697"/>
    <n v="38.000000000004697"/>
    <n v="2.9230769230772844"/>
    <n v="337.5000000000183"/>
    <m/>
    <m/>
  </r>
  <r>
    <n v="7"/>
    <s v="Long"/>
    <n v="1"/>
    <n v="1.6617"/>
    <n v="1.6618999999999999"/>
    <x v="6"/>
    <d v="2014-03-11T04:55:16"/>
    <m/>
    <m/>
    <s v="JL Cross"/>
    <s v="Trailing Stop No T2"/>
    <d v="1900-01-02T00:00:00"/>
    <x v="5"/>
    <d v="1899-12-30T04:45:00"/>
    <x v="8"/>
    <n v="12.499999999998623"/>
    <m/>
    <m/>
    <m/>
    <m/>
    <m/>
    <m/>
    <n v="40.000000000004476"/>
    <n v="40.000000000004476"/>
    <n v="2.857142857143177"/>
    <n v="350.00000000001694"/>
    <m/>
    <m/>
  </r>
  <r>
    <n v="8"/>
    <s v="Short"/>
    <n v="1"/>
    <n v="1.6607000000000001"/>
    <n v="1.6591"/>
    <x v="7"/>
    <d v="2014-03-12T04:26:11"/>
    <m/>
    <m/>
    <s v="JL Cross"/>
    <s v="T2"/>
    <d v="1900-01-03T00:00:00"/>
    <x v="2"/>
    <d v="1899-12-30T04:15:00"/>
    <x v="8"/>
    <n v="100.00000000000287"/>
    <m/>
    <m/>
    <m/>
    <m/>
    <m/>
    <m/>
    <n v="56.000000000004931"/>
    <n v="56.000000000004931"/>
    <n v="3.733333333333662"/>
    <n v="450.00000000001978"/>
    <m/>
    <m/>
  </r>
  <r>
    <n v="8"/>
    <s v="Short"/>
    <n v="1"/>
    <n v="1.6607000000000001"/>
    <n v="1.6600999999999999"/>
    <x v="7"/>
    <d v="2014-03-12T04:36:09"/>
    <m/>
    <m/>
    <s v="JL Cross"/>
    <s v="Trailing Stop"/>
    <d v="1900-01-03T00:00:00"/>
    <x v="2"/>
    <d v="1899-12-30T04:30:00"/>
    <x v="6"/>
    <n v="37.500000000009749"/>
    <m/>
    <m/>
    <m/>
    <m/>
    <m/>
    <m/>
    <n v="62.000000000006494"/>
    <n v="62.000000000006494"/>
    <n v="3.8750000000004059"/>
    <n v="487.50000000002956"/>
    <m/>
    <m/>
  </r>
  <r>
    <n v="9"/>
    <s v="Long"/>
    <n v="1"/>
    <n v="1.6669"/>
    <n v="1.6655"/>
    <x v="8"/>
    <d v="2014-03-13T03:56:36"/>
    <m/>
    <m/>
    <s v="JL Cross"/>
    <s v="Stop"/>
    <d v="1900-01-04T00:00:00"/>
    <x v="0"/>
    <d v="1899-12-30T03:45:00"/>
    <x v="9"/>
    <n v="-87.500000000004235"/>
    <m/>
    <m/>
    <m/>
    <m/>
    <m/>
    <m/>
    <n v="48.000000000005819"/>
    <n v="48.000000000005819"/>
    <n v="2.823529411765048"/>
    <n v="-87.500000000004235"/>
    <m/>
    <m/>
  </r>
  <r>
    <n v="9"/>
    <s v="Long"/>
    <n v="1"/>
    <n v="1.6669"/>
    <n v="1.6655"/>
    <x v="8"/>
    <d v="2014-03-13T03:56:36"/>
    <m/>
    <m/>
    <s v="JL Cross"/>
    <s v="Stop"/>
    <d v="1900-01-04T00:00:00"/>
    <x v="0"/>
    <d v="1899-12-30T03:45:00"/>
    <x v="9"/>
    <n v="-87.500000000004235"/>
    <m/>
    <m/>
    <m/>
    <m/>
    <m/>
    <m/>
    <n v="34.000000000005144"/>
    <n v="34.000000000005144"/>
    <n v="1.8888888888891746"/>
    <n v="-175.00000000000847"/>
    <m/>
    <m/>
  </r>
  <r>
    <n v="10"/>
    <s v="Long"/>
    <n v="1"/>
    <n v="1.6664000000000001"/>
    <n v="1.6674"/>
    <x v="9"/>
    <d v="2014-03-13T05:29:33"/>
    <m/>
    <m/>
    <s v="JL Cross"/>
    <s v="T2"/>
    <d v="1900-01-04T00:00:00"/>
    <x v="6"/>
    <d v="1899-12-30T05:15:00"/>
    <x v="10"/>
    <n v="62.499999999993115"/>
    <m/>
    <m/>
    <m/>
    <m/>
    <m/>
    <m/>
    <n v="44.000000000004043"/>
    <n v="44.000000000004043"/>
    <n v="2.3157894736844233"/>
    <n v="62.499999999993115"/>
    <m/>
    <m/>
  </r>
  <r>
    <n v="10"/>
    <s v="Long"/>
    <n v="1"/>
    <n v="1.6664000000000001"/>
    <n v="1.6669"/>
    <x v="9"/>
    <d v="2014-03-13T06:11:49"/>
    <m/>
    <m/>
    <s v="JL Cross"/>
    <s v="Trailing Stop"/>
    <d v="1900-01-04T00:00:00"/>
    <x v="6"/>
    <d v="1899-12-30T06:00:00"/>
    <x v="11"/>
    <n v="31.249999999996557"/>
    <m/>
    <m/>
    <m/>
    <m/>
    <m/>
    <m/>
    <n v="49.000000000003496"/>
    <n v="49.000000000003496"/>
    <n v="2.4500000000001747"/>
    <n v="93.749999999989669"/>
    <m/>
    <m/>
  </r>
  <r>
    <n v="11"/>
    <s v="Short"/>
    <n v="1"/>
    <n v="1.6591"/>
    <n v="1.6611"/>
    <x v="10"/>
    <d v="2014-03-14T04:57:24"/>
    <m/>
    <m/>
    <s v="JL Cross"/>
    <s v="Stop"/>
    <d v="1900-01-05T00:00:00"/>
    <x v="7"/>
    <d v="1899-12-30T04:45:00"/>
    <x v="12"/>
    <n v="-125.00000000000011"/>
    <m/>
    <m/>
    <m/>
    <m/>
    <m/>
    <m/>
    <n v="29.000000000003478"/>
    <n v="29.000000000003478"/>
    <n v="1.3809523809525466"/>
    <n v="-125.00000000000011"/>
    <m/>
    <m/>
  </r>
  <r>
    <n v="11"/>
    <s v="Short"/>
    <n v="1"/>
    <n v="1.6591"/>
    <n v="1.6611"/>
    <x v="10"/>
    <d v="2014-03-14T04:57:24"/>
    <m/>
    <m/>
    <s v="JL Cross"/>
    <s v="Stop"/>
    <d v="1900-01-05T00:00:00"/>
    <x v="7"/>
    <d v="1899-12-30T04:45:00"/>
    <x v="12"/>
    <n v="-125.00000000000011"/>
    <m/>
    <m/>
    <m/>
    <m/>
    <m/>
    <m/>
    <n v="9.0000000000034603"/>
    <n v="9.0000000000034603"/>
    <n v="0.40909090909106638"/>
    <n v="-250.00000000000023"/>
    <m/>
    <m/>
  </r>
  <r>
    <n v="12"/>
    <s v="Long"/>
    <n v="1"/>
    <n v="1.6638999999999999"/>
    <n v="1.6629"/>
    <x v="11"/>
    <d v="2014-03-17T05:33:22"/>
    <m/>
    <m/>
    <s v="JL Cross"/>
    <s v="Stop"/>
    <d v="1900-01-01T00:00:00"/>
    <x v="1"/>
    <d v="1899-12-30T05:30:00"/>
    <x v="13"/>
    <n v="-62.499999999993115"/>
    <m/>
    <m/>
    <m/>
    <m/>
    <m/>
    <m/>
    <n v="-0.99999999999543832"/>
    <n v="-0.99999999999543832"/>
    <n v="-4.3478260869366882E-2"/>
    <n v="-312.49999999999335"/>
    <m/>
    <m/>
  </r>
  <r>
    <n v="12"/>
    <s v="Long"/>
    <n v="1"/>
    <n v="1.6638999999999999"/>
    <n v="1.6629"/>
    <x v="11"/>
    <d v="2014-03-17T05:33:22"/>
    <m/>
    <m/>
    <s v="JL Cross"/>
    <s v="Stop"/>
    <d v="1900-01-01T00:00:00"/>
    <x v="1"/>
    <d v="1899-12-30T05:30:00"/>
    <x v="13"/>
    <n v="-62.499999999993115"/>
    <m/>
    <m/>
    <m/>
    <m/>
    <m/>
    <m/>
    <n v="-10.999999999994337"/>
    <n v="-10.999999999994337"/>
    <n v="-0.45833333333309739"/>
    <n v="-374.99999999998647"/>
    <m/>
    <m/>
  </r>
  <r>
    <n v="13"/>
    <s v="Short"/>
    <n v="1"/>
    <n v="1.6611"/>
    <n v="1.6597999999999999"/>
    <x v="12"/>
    <d v="2014-03-17T07:26:56"/>
    <m/>
    <m/>
    <s v="50 EMA Jump"/>
    <s v="T2"/>
    <d v="1900-01-01T00:00:00"/>
    <x v="8"/>
    <d v="1899-12-30T07:15:00"/>
    <x v="3"/>
    <n v="81.250000000004931"/>
    <m/>
    <m/>
    <m/>
    <m/>
    <m/>
    <m/>
    <n v="2.0000000000064517"/>
    <n v="2.0000000000064517"/>
    <n v="8.0000000000258073E-2"/>
    <n v="81.250000000004931"/>
    <m/>
    <m/>
  </r>
  <r>
    <n v="13"/>
    <s v="Short"/>
    <n v="1"/>
    <n v="1.6611"/>
    <n v="1.6603000000000001"/>
    <x v="12"/>
    <d v="2014-03-17T08:32:08"/>
    <m/>
    <m/>
    <s v="50 EMA Jump"/>
    <s v="Trailing Stop"/>
    <d v="1900-01-01T00:00:00"/>
    <x v="8"/>
    <d v="1899-12-30T08:30:00"/>
    <x v="4"/>
    <n v="49.999999999994493"/>
    <m/>
    <m/>
    <m/>
    <m/>
    <m/>
    <m/>
    <n v="10.000000000005571"/>
    <n v="10.000000000005571"/>
    <n v="0.38461538461559885"/>
    <n v="131.24999999999943"/>
    <m/>
    <m/>
  </r>
  <r>
    <n v="14"/>
    <s v="Short"/>
    <n v="1"/>
    <n v="1.6605000000000001"/>
    <n v="1.6589"/>
    <x v="13"/>
    <d v="2014-03-18T04:00:08"/>
    <m/>
    <m/>
    <s v="JL Cross"/>
    <s v="T2"/>
    <d v="1900-01-02T00:00:00"/>
    <x v="9"/>
    <d v="1899-12-30T04:00:00"/>
    <x v="5"/>
    <n v="100.00000000000287"/>
    <m/>
    <m/>
    <m/>
    <m/>
    <m/>
    <m/>
    <n v="26.000000000006029"/>
    <n v="26.000000000006029"/>
    <n v="0.96296296296318629"/>
    <n v="231.2500000000023"/>
    <m/>
    <m/>
  </r>
  <r>
    <n v="14"/>
    <s v="Short"/>
    <n v="1"/>
    <n v="1.6605000000000001"/>
    <n v="1.6591"/>
    <x v="13"/>
    <d v="2014-03-18T04:31:35"/>
    <m/>
    <m/>
    <s v="JL Cross"/>
    <s v="Trailing Stop"/>
    <d v="1900-01-02T00:00:00"/>
    <x v="9"/>
    <d v="1899-12-30T04:30:00"/>
    <x v="9"/>
    <n v="87.500000000004235"/>
    <m/>
    <m/>
    <m/>
    <m/>
    <m/>
    <m/>
    <n v="40.000000000006708"/>
    <n v="40.000000000006708"/>
    <n v="1.4285714285716682"/>
    <n v="318.75000000000654"/>
    <m/>
    <m/>
  </r>
  <r>
    <n v="15"/>
    <s v="Long"/>
    <n v="1"/>
    <n v="1.659"/>
    <n v="1.6601999999999999"/>
    <x v="14"/>
    <d v="2014-03-19T04:01:32"/>
    <m/>
    <m/>
    <s v="JL Cross"/>
    <s v="T2"/>
    <d v="1900-01-03T00:00:00"/>
    <x v="2"/>
    <d v="1899-12-30T04:00:00"/>
    <x v="3"/>
    <n v="74.999999999991743"/>
    <m/>
    <m/>
    <m/>
    <m/>
    <m/>
    <m/>
    <n v="52.000000000005386"/>
    <n v="52.000000000005386"/>
    <n v="1.7931034482760477"/>
    <n v="393.74999999999829"/>
    <m/>
    <m/>
  </r>
  <r>
    <n v="15"/>
    <s v="Long"/>
    <n v="1"/>
    <n v="1.659"/>
    <n v="1.6595"/>
    <x v="14"/>
    <d v="2014-03-19T04:07:34"/>
    <m/>
    <m/>
    <s v="JL Cross"/>
    <s v="Trailing Stop"/>
    <d v="1900-01-03T00:00:00"/>
    <x v="2"/>
    <d v="1899-12-30T04:00:00"/>
    <x v="10"/>
    <n v="31.249999999996557"/>
    <m/>
    <m/>
    <m/>
    <m/>
    <m/>
    <m/>
    <n v="57.000000000004832"/>
    <n v="57.000000000004832"/>
    <n v="1.9000000000001611"/>
    <n v="424.99999999999483"/>
    <m/>
    <m/>
  </r>
  <r>
    <n v="16"/>
    <s v="Long"/>
    <n v="1"/>
    <n v="1.6545000000000001"/>
    <n v="1.6547000000000001"/>
    <x v="15"/>
    <d v="2014-03-20T04:51:28"/>
    <m/>
    <m/>
    <s v="JL9 Jump"/>
    <s v="Trailing Stop No T2"/>
    <d v="1900-01-04T00:00:00"/>
    <x v="2"/>
    <d v="1899-12-30T04:45:00"/>
    <x v="14"/>
    <n v="12.499999999998623"/>
    <m/>
    <m/>
    <m/>
    <m/>
    <m/>
    <m/>
    <n v="59.000000000004611"/>
    <n v="59.000000000004611"/>
    <n v="1.9032258064517618"/>
    <n v="437.49999999999346"/>
    <m/>
    <m/>
  </r>
  <r>
    <n v="16"/>
    <s v="Long"/>
    <n v="1"/>
    <n v="1.6545000000000001"/>
    <n v="1.6547000000000001"/>
    <x v="15"/>
    <d v="2014-03-20T04:51:28"/>
    <m/>
    <m/>
    <s v="JL9 Jump"/>
    <s v="Trailing Stop No T2"/>
    <d v="1900-01-04T00:00:00"/>
    <x v="2"/>
    <d v="1899-12-30T04:45:00"/>
    <x v="14"/>
    <n v="12.499999999998623"/>
    <m/>
    <m/>
    <m/>
    <m/>
    <m/>
    <m/>
    <n v="61.000000000004391"/>
    <n v="61.000000000004391"/>
    <n v="1.9062500000001372"/>
    <n v="449.9999999999921"/>
    <m/>
    <m/>
  </r>
  <r>
    <n v="17"/>
    <s v="Short"/>
    <n v="1"/>
    <n v="1.6528"/>
    <n v="1.6514"/>
    <x v="16"/>
    <d v="2014-03-20T06:29:41"/>
    <m/>
    <m/>
    <s v="50 EMA Jump"/>
    <s v="T2"/>
    <d v="1900-01-04T00:00:00"/>
    <x v="10"/>
    <d v="1899-12-30T06:15:00"/>
    <x v="13"/>
    <n v="87.500000000004235"/>
    <m/>
    <m/>
    <m/>
    <m/>
    <m/>
    <m/>
    <n v="75.000000000005073"/>
    <n v="75.000000000005073"/>
    <n v="2.2727272727274266"/>
    <n v="537.49999999999636"/>
    <m/>
    <m/>
  </r>
  <r>
    <n v="17"/>
    <s v="Short"/>
    <n v="1"/>
    <n v="1.6528"/>
    <n v="1.6518999999999999"/>
    <x v="16"/>
    <d v="2014-03-20T06:38:16"/>
    <m/>
    <m/>
    <s v="50 EMA Jump"/>
    <s v="Trailing Stop"/>
    <d v="1900-01-04T00:00:00"/>
    <x v="10"/>
    <d v="1899-12-30T06:30:00"/>
    <x v="15"/>
    <n v="56.250000000007681"/>
    <m/>
    <m/>
    <m/>
    <m/>
    <m/>
    <m/>
    <n v="84.00000000000631"/>
    <n v="84.00000000000631"/>
    <n v="2.4705882352943034"/>
    <n v="593.75000000000409"/>
    <m/>
    <m/>
  </r>
  <r>
    <n v="18"/>
    <s v="Short"/>
    <n v="1"/>
    <n v="1.649"/>
    <n v="1.6472"/>
    <x v="17"/>
    <d v="2014-03-21T04:00:17"/>
    <m/>
    <m/>
    <s v="JL Cross"/>
    <s v="T2"/>
    <d v="1900-01-05T00:00:00"/>
    <x v="0"/>
    <d v="1899-12-30T04:00:00"/>
    <x v="9"/>
    <n v="112.50000000000149"/>
    <m/>
    <m/>
    <m/>
    <m/>
    <m/>
    <m/>
    <n v="102.00000000000655"/>
    <n v="102.00000000000655"/>
    <n v="2.9142857142859016"/>
    <n v="706.25000000000557"/>
    <m/>
    <m/>
  </r>
  <r>
    <n v="18"/>
    <s v="Short"/>
    <n v="1"/>
    <n v="1.649"/>
    <n v="1.6475"/>
    <x v="17"/>
    <d v="2014-03-21T04:37:04"/>
    <m/>
    <m/>
    <s v="JL Cross"/>
    <s v="Trailing Stop"/>
    <d v="1900-01-05T00:00:00"/>
    <x v="0"/>
    <d v="1899-12-30T04:30:00"/>
    <x v="16"/>
    <n v="93.750000000003553"/>
    <m/>
    <m/>
    <m/>
    <m/>
    <m/>
    <m/>
    <n v="117.00000000000712"/>
    <n v="117.00000000000712"/>
    <n v="3.2500000000001976"/>
    <n v="800.00000000000909"/>
    <m/>
    <m/>
  </r>
  <r>
    <n v="19"/>
    <s v="Long"/>
    <n v="1"/>
    <n v="1.6494"/>
    <n v="1.6476999999999999"/>
    <x v="18"/>
    <d v="2014-03-24T04:57:37"/>
    <m/>
    <m/>
    <s v="JL9 Jump"/>
    <s v="Stop"/>
    <d v="1900-01-01T00:00:00"/>
    <x v="2"/>
    <d v="1899-12-30T04:45:00"/>
    <x v="7"/>
    <n v="-106.25000000000217"/>
    <m/>
    <m/>
    <m/>
    <m/>
    <m/>
    <m/>
    <n v="100.00000000000676"/>
    <n v="100.00000000000676"/>
    <n v="2.7027027027028856"/>
    <n v="-106.25000000000217"/>
    <m/>
    <m/>
  </r>
  <r>
    <n v="19"/>
    <s v="Long"/>
    <n v="1"/>
    <n v="1.6494"/>
    <n v="1.6476999999999999"/>
    <x v="18"/>
    <d v="2014-03-24T04:57:37"/>
    <m/>
    <m/>
    <s v="JL9 Jump"/>
    <s v="Stop"/>
    <d v="1900-01-01T00:00:00"/>
    <x v="2"/>
    <d v="1899-12-30T04:45:00"/>
    <x v="7"/>
    <n v="-106.25000000000217"/>
    <m/>
    <m/>
    <m/>
    <m/>
    <m/>
    <m/>
    <n v="83.000000000006423"/>
    <n v="83.000000000006423"/>
    <n v="2.1842105263159586"/>
    <n v="-212.50000000000435"/>
    <m/>
    <m/>
  </r>
  <r>
    <n v="20"/>
    <s v="Short"/>
    <n v="1"/>
    <n v="1.6476"/>
    <n v="1.6493"/>
    <x v="19"/>
    <d v="2014-03-25T05:30:16"/>
    <m/>
    <m/>
    <s v="200 EMA Jump"/>
    <s v="Stop"/>
    <d v="1900-01-02T00:00:00"/>
    <x v="9"/>
    <d v="1899-12-30T05:30:00"/>
    <x v="12"/>
    <n v="-106.25000000000217"/>
    <m/>
    <m/>
    <m/>
    <m/>
    <m/>
    <m/>
    <n v="66.000000000006082"/>
    <n v="66.000000000006082"/>
    <n v="1.6923076923078482"/>
    <n v="-318.75000000000654"/>
    <m/>
    <m/>
  </r>
  <r>
    <n v="20"/>
    <s v="Short"/>
    <n v="1"/>
    <n v="1.6476"/>
    <n v="1.6493"/>
    <x v="19"/>
    <d v="2014-03-25T05:30:16"/>
    <m/>
    <m/>
    <s v="200 EMA Jump"/>
    <s v="Stop"/>
    <d v="1900-01-02T00:00:00"/>
    <x v="9"/>
    <d v="1899-12-30T05:30:00"/>
    <x v="12"/>
    <n v="-106.25000000000217"/>
    <m/>
    <m/>
    <m/>
    <m/>
    <m/>
    <m/>
    <n v="49.000000000005734"/>
    <n v="49.000000000005734"/>
    <n v="1.2250000000001433"/>
    <n v="-425.0000000000087"/>
    <m/>
    <m/>
  </r>
  <r>
    <n v="21"/>
    <s v="Long"/>
    <n v="1"/>
    <n v="1.6536"/>
    <n v="1.6536999999999999"/>
    <x v="20"/>
    <d v="2014-03-26T04:12:38"/>
    <m/>
    <m/>
    <s v="JL Cross"/>
    <s v="Lock-in"/>
    <d v="1900-01-03T00:00:00"/>
    <x v="2"/>
    <d v="1899-12-30T04:00:00"/>
    <x v="10"/>
    <n v="6.2499999999993117"/>
    <m/>
    <m/>
    <m/>
    <m/>
    <m/>
    <m/>
    <n v="50.000000000005627"/>
    <n v="50.000000000005627"/>
    <n v="1.2195121951220884"/>
    <n v="6.2499999999993117"/>
    <m/>
    <m/>
  </r>
  <r>
    <n v="21"/>
    <s v="Long"/>
    <n v="1"/>
    <n v="1.6536"/>
    <n v="1.6536999999999999"/>
    <x v="20"/>
    <d v="2014-03-26T04:12:38"/>
    <m/>
    <m/>
    <s v="JL Cross"/>
    <s v="Lock-in"/>
    <d v="1900-01-03T00:00:00"/>
    <x v="2"/>
    <d v="1899-12-30T04:00:00"/>
    <x v="10"/>
    <n v="6.2499999999993117"/>
    <m/>
    <m/>
    <m/>
    <m/>
    <m/>
    <m/>
    <n v="51.000000000005514"/>
    <n v="51.000000000005514"/>
    <n v="1.2142857142858456"/>
    <n v="12.499999999998623"/>
    <m/>
    <m/>
  </r>
  <r>
    <n v="22"/>
    <s v="Long"/>
    <n v="1"/>
    <n v="1.6564000000000001"/>
    <n v="1.6578999999999999"/>
    <x v="21"/>
    <d v="2014-03-27T05:30:00"/>
    <m/>
    <m/>
    <s v="200 EMA Jump"/>
    <s v="T2"/>
    <d v="1900-01-04T00:00:00"/>
    <x v="6"/>
    <d v="1899-12-30T05:30:00"/>
    <x v="10"/>
    <n v="93.749999999989669"/>
    <m/>
    <m/>
    <m/>
    <m/>
    <m/>
    <m/>
    <n v="66.000000000003865"/>
    <n v="66.000000000003865"/>
    <n v="1.5348837209303225"/>
    <n v="106.24999999998829"/>
    <m/>
    <m/>
  </r>
  <r>
    <n v="22"/>
    <s v="Long"/>
    <n v="1"/>
    <n v="1.6564000000000001"/>
    <n v="1.6608000000000001"/>
    <x v="21"/>
    <d v="2014-03-27T05:30:15"/>
    <m/>
    <m/>
    <s v="200 EMA Jump"/>
    <s v="Trailing Stop"/>
    <d v="1900-01-04T00:00:00"/>
    <x v="6"/>
    <d v="1899-12-30T05:30:00"/>
    <x v="10"/>
    <n v="274.99999999999744"/>
    <m/>
    <m/>
    <m/>
    <m/>
    <m/>
    <m/>
    <n v="110.00000000000345"/>
    <n v="110.00000000000345"/>
    <n v="2.5000000000000786"/>
    <n v="381.24999999998573"/>
    <m/>
    <m/>
  </r>
  <r>
    <n v="23"/>
    <s v="Short"/>
    <n v="1"/>
    <n v="1.6617"/>
    <n v="1.6628000000000001"/>
    <x v="22"/>
    <d v="2014-03-31T05:00:00"/>
    <m/>
    <m/>
    <s v="50 EMA Jump"/>
    <s v="Stop"/>
    <d v="1900-01-01T00:00:00"/>
    <x v="11"/>
    <d v="1899-12-30T05:00:00"/>
    <x v="5"/>
    <n v="-68.75000000000631"/>
    <m/>
    <m/>
    <m/>
    <m/>
    <m/>
    <m/>
    <n v="99.000000000002444"/>
    <n v="99.000000000002444"/>
    <n v="2.2000000000000544"/>
    <n v="-68.75000000000631"/>
    <m/>
    <m/>
  </r>
  <r>
    <n v="23"/>
    <s v="Short"/>
    <n v="1"/>
    <n v="1.6617"/>
    <n v="1.6628000000000001"/>
    <x v="22"/>
    <d v="2014-03-31T05:00:00"/>
    <m/>
    <m/>
    <s v="50 EMA Jump"/>
    <s v="Stop"/>
    <d v="1900-01-01T00:00:00"/>
    <x v="11"/>
    <d v="1899-12-30T05:00:00"/>
    <x v="5"/>
    <n v="-68.75000000000631"/>
    <m/>
    <m/>
    <m/>
    <m/>
    <m/>
    <m/>
    <n v="88.000000000001435"/>
    <n v="88.000000000001435"/>
    <n v="1.9130434782609007"/>
    <n v="-137.50000000001262"/>
    <m/>
    <m/>
  </r>
  <r>
    <n v="24"/>
    <s v="Short"/>
    <n v="1"/>
    <n v="1.6631"/>
    <n v="1.6641999999999999"/>
    <x v="23"/>
    <d v="2014-04-01T05:11:38"/>
    <m/>
    <m/>
    <s v="JL9 Jump"/>
    <s v="Stop"/>
    <d v="1900-01-02T00:00:00"/>
    <x v="1"/>
    <d v="1899-12-30T05:00:00"/>
    <x v="5"/>
    <n v="-68.749999999992426"/>
    <m/>
    <m/>
    <m/>
    <m/>
    <m/>
    <m/>
    <n v="77.000000000002643"/>
    <n v="77.000000000002643"/>
    <n v="1.6382978723404817"/>
    <n v="-206.25000000000506"/>
    <m/>
    <m/>
  </r>
  <r>
    <n v="24"/>
    <s v="Short"/>
    <n v="1"/>
    <n v="1.6631"/>
    <n v="1.6641999999999999"/>
    <x v="23"/>
    <d v="2014-04-01T05:11:38"/>
    <m/>
    <m/>
    <s v="JL9 Jump"/>
    <s v="Stop"/>
    <d v="1900-01-02T00:00:00"/>
    <x v="1"/>
    <d v="1899-12-30T05:00:00"/>
    <x v="5"/>
    <n v="-68.749999999992426"/>
    <m/>
    <m/>
    <m/>
    <m/>
    <m/>
    <m/>
    <n v="66.000000000003851"/>
    <n v="66.000000000003851"/>
    <n v="1.3750000000000802"/>
    <n v="-274.9999999999975"/>
    <m/>
    <m/>
  </r>
  <r>
    <n v="25"/>
    <s v="Long"/>
    <n v="1"/>
    <n v="1.6637"/>
    <n v="1.6648000000000001"/>
    <x v="24"/>
    <d v="2014-04-02T04:19:24"/>
    <m/>
    <m/>
    <s v="50 EMA Jump"/>
    <s v="T2"/>
    <d v="1900-01-03T00:00:00"/>
    <x v="9"/>
    <d v="1899-12-30T04:15:00"/>
    <x v="13"/>
    <n v="68.75000000000631"/>
    <m/>
    <m/>
    <m/>
    <m/>
    <m/>
    <m/>
    <n v="77.00000000000486"/>
    <n v="77.00000000000486"/>
    <n v="1.5714285714286707"/>
    <n v="68.75000000000631"/>
    <m/>
    <m/>
  </r>
  <r>
    <n v="25"/>
    <s v="Long"/>
    <n v="1"/>
    <n v="1.6637"/>
    <n v="1.6644000000000001"/>
    <x v="24"/>
    <d v="2014-04-02T04:28:56"/>
    <m/>
    <m/>
    <s v="50 EMA Jump"/>
    <s v="Trailing Stop"/>
    <d v="1900-01-03T00:00:00"/>
    <x v="9"/>
    <d v="1899-12-30T04:15:00"/>
    <x v="15"/>
    <n v="43.750000000009059"/>
    <m/>
    <m/>
    <m/>
    <m/>
    <m/>
    <m/>
    <n v="84.00000000000631"/>
    <n v="84.00000000000631"/>
    <n v="1.6800000000001263"/>
    <n v="112.50000000001538"/>
    <m/>
    <m/>
  </r>
  <r>
    <n v="26"/>
    <s v="Long"/>
    <n v="1"/>
    <n v="1.6642999999999999"/>
    <n v="1.6649"/>
    <x v="25"/>
    <d v="2014-04-03T03:16:09"/>
    <m/>
    <m/>
    <s v="JL Cross"/>
    <s v="T2"/>
    <d v="1900-01-04T00:00:00"/>
    <x v="0"/>
    <d v="1899-12-30T03:15:00"/>
    <x v="10"/>
    <n v="37.500000000009749"/>
    <m/>
    <m/>
    <m/>
    <m/>
    <m/>
    <m/>
    <n v="90.000000000007873"/>
    <n v="90.000000000007873"/>
    <n v="1.7647058823530954"/>
    <n v="150.00000000002512"/>
    <m/>
    <m/>
  </r>
  <r>
    <n v="26"/>
    <s v="Long"/>
    <n v="1"/>
    <n v="1.6642999999999999"/>
    <n v="1.6642999999999999"/>
    <x v="25"/>
    <d v="2014-04-03T03:16:09"/>
    <m/>
    <m/>
    <s v="JL Cross"/>
    <s v="Lock-in"/>
    <d v="1900-01-04T00:00:00"/>
    <x v="0"/>
    <d v="1899-12-30T03:15:00"/>
    <x v="10"/>
    <n v="0"/>
    <m/>
    <m/>
    <m/>
    <m/>
    <m/>
    <m/>
    <n v="90.000000000007873"/>
    <n v="90.000000000007873"/>
    <n v="1.7307692307693823"/>
    <n v="0"/>
    <m/>
    <m/>
  </r>
  <r>
    <n v="27"/>
    <s v="Short"/>
    <n v="1"/>
    <n v="1.6556999999999999"/>
    <n v="1.6571"/>
    <x v="26"/>
    <d v="2014-04-07T04:12:18"/>
    <m/>
    <m/>
    <s v="50 EMA Jump"/>
    <s v="Stop"/>
    <d v="1900-01-01T00:00:00"/>
    <x v="4"/>
    <d v="1899-12-30T04:00:00"/>
    <x v="13"/>
    <n v="-87.500000000004235"/>
    <m/>
    <m/>
    <m/>
    <m/>
    <m/>
    <m/>
    <n v="76.000000000007191"/>
    <n v="76.000000000007191"/>
    <n v="1.433962264151079"/>
    <n v="-87.500000000004235"/>
    <m/>
    <m/>
  </r>
  <r>
    <n v="27"/>
    <s v="Short"/>
    <n v="1"/>
    <n v="1.6556999999999999"/>
    <n v="1.6571"/>
    <x v="26"/>
    <d v="2014-04-07T04:12:18"/>
    <m/>
    <m/>
    <s v="50 EMA Jump"/>
    <s v="Stop"/>
    <d v="1900-01-01T00:00:00"/>
    <x v="4"/>
    <d v="1899-12-30T04:00:00"/>
    <x v="13"/>
    <n v="-87.500000000004235"/>
    <m/>
    <m/>
    <m/>
    <m/>
    <m/>
    <m/>
    <n v="62.000000000006516"/>
    <n v="62.000000000006516"/>
    <n v="1.1481481481482687"/>
    <n v="-175.00000000000847"/>
    <m/>
    <m/>
  </r>
  <r>
    <n v="28"/>
    <s v="Long"/>
    <n v="1"/>
    <n v="1.6667000000000001"/>
    <n v="1.6695"/>
    <x v="27"/>
    <d v="2014-04-08T04:36:43"/>
    <m/>
    <m/>
    <s v="JL9 Jump"/>
    <s v="Trailing Stop No T2"/>
    <d v="1900-01-02T00:00:00"/>
    <x v="5"/>
    <d v="1899-12-30T04:30:00"/>
    <x v="10"/>
    <n v="174.9999999999946"/>
    <m/>
    <m/>
    <m/>
    <m/>
    <m/>
    <m/>
    <n v="90.000000000005656"/>
    <n v="90.000000000005656"/>
    <n v="1.6363636363637393"/>
    <n v="174.9999999999946"/>
    <m/>
    <m/>
  </r>
  <r>
    <n v="28"/>
    <s v="Long"/>
    <n v="1"/>
    <n v="1.6667000000000001"/>
    <n v="1.6695"/>
    <x v="27"/>
    <d v="2014-04-08T04:36:43"/>
    <m/>
    <m/>
    <s v="JL9 Jump"/>
    <s v="Trailing Stop No T2"/>
    <d v="1900-01-02T00:00:00"/>
    <x v="5"/>
    <d v="1899-12-30T04:30:00"/>
    <x v="10"/>
    <n v="174.9999999999946"/>
    <m/>
    <m/>
    <m/>
    <m/>
    <m/>
    <m/>
    <n v="118.00000000000479"/>
    <n v="118.00000000000479"/>
    <n v="2.1071428571429425"/>
    <n v="349.9999999999892"/>
    <m/>
    <m/>
  </r>
  <r>
    <n v="29"/>
    <s v="Short"/>
    <n v="1"/>
    <n v="1.6727000000000001"/>
    <n v="1.6737"/>
    <x v="28"/>
    <d v="2014-04-09T03:59:52"/>
    <m/>
    <m/>
    <s v="JL Cross"/>
    <s v="Stop"/>
    <d v="1900-01-03T00:00:00"/>
    <x v="0"/>
    <d v="1899-12-30T03:45:00"/>
    <x v="9"/>
    <n v="-62.499999999993115"/>
    <m/>
    <m/>
    <m/>
    <m/>
    <m/>
    <m/>
    <n v="108.00000000000588"/>
    <n v="108.00000000000588"/>
    <n v="1.8947368421053663"/>
    <n v="-62.499999999993115"/>
    <m/>
    <m/>
  </r>
  <r>
    <n v="29"/>
    <s v="Short"/>
    <n v="1"/>
    <n v="1.6727000000000001"/>
    <n v="1.6737"/>
    <x v="28"/>
    <d v="2014-04-09T03:59:52"/>
    <m/>
    <m/>
    <s v="JL Cross"/>
    <s v="Stop"/>
    <d v="1900-01-03T00:00:00"/>
    <x v="0"/>
    <d v="1899-12-30T03:45:00"/>
    <x v="9"/>
    <n v="-62.499999999993115"/>
    <m/>
    <m/>
    <m/>
    <m/>
    <m/>
    <m/>
    <n v="98.000000000006992"/>
    <n v="98.000000000006992"/>
    <n v="1.6896551724139137"/>
    <n v="-124.99999999998623"/>
    <m/>
    <m/>
  </r>
  <r>
    <n v="30"/>
    <s v="Long"/>
    <n v="1"/>
    <n v="1.679"/>
    <n v="1.6779999999999999"/>
    <x v="29"/>
    <d v="2014-04-09T03:22:47"/>
    <m/>
    <m/>
    <s v="JL Cross"/>
    <s v="Stop"/>
    <d v="1900-01-03T00:00:00"/>
    <x v="0"/>
    <d v="1899-12-30T03:15:00"/>
    <x v="2"/>
    <n v="-62.500000000006992"/>
    <m/>
    <m/>
    <m/>
    <m/>
    <m/>
    <m/>
    <n v="88.000000000005869"/>
    <n v="88.000000000005869"/>
    <n v="1.4915254237289131"/>
    <n v="-187.49999999999324"/>
    <m/>
    <m/>
  </r>
  <r>
    <n v="30"/>
    <s v="Long"/>
    <n v="1"/>
    <n v="1.679"/>
    <n v="1.6779999999999999"/>
    <x v="29"/>
    <d v="2014-04-09T03:22:47"/>
    <m/>
    <m/>
    <s v="JL Cross"/>
    <s v="Stop"/>
    <d v="1900-01-03T00:00:00"/>
    <x v="0"/>
    <d v="1899-12-30T03:15:00"/>
    <x v="2"/>
    <n v="-62.500000000006992"/>
    <m/>
    <m/>
    <m/>
    <m/>
    <m/>
    <m/>
    <n v="78.000000000004746"/>
    <n v="78.000000000004746"/>
    <n v="1.3000000000000791"/>
    <n v="-250.00000000000023"/>
    <m/>
    <m/>
  </r>
  <r>
    <n v="31"/>
    <s v="Short"/>
    <n v="1"/>
    <n v="1.6765000000000001"/>
    <n v="1.6763999999999999"/>
    <x v="30"/>
    <d v="2014-04-11T04:51:06"/>
    <m/>
    <m/>
    <s v="JL Cross"/>
    <s v="Lock-in"/>
    <d v="1900-01-05T00:00:00"/>
    <x v="2"/>
    <d v="1899-12-30T04:45:00"/>
    <x v="14"/>
    <n v="6.2500000000131894"/>
    <m/>
    <m/>
    <m/>
    <m/>
    <m/>
    <m/>
    <n v="79.00000000000685"/>
    <n v="79.00000000000685"/>
    <n v="1.295081967213227"/>
    <n v="6.2500000000131894"/>
    <m/>
    <m/>
  </r>
  <r>
    <n v="31"/>
    <s v="Short"/>
    <n v="1"/>
    <n v="1.6765000000000001"/>
    <n v="1.6763999999999999"/>
    <x v="30"/>
    <d v="2014-04-11T04:51:06"/>
    <m/>
    <m/>
    <s v="JL Cross"/>
    <s v="Lock-in"/>
    <d v="1900-01-05T00:00:00"/>
    <x v="2"/>
    <d v="1899-12-30T04:45:00"/>
    <x v="14"/>
    <n v="6.2500000000131894"/>
    <m/>
    <m/>
    <m/>
    <m/>
    <m/>
    <m/>
    <n v="80.000000000008953"/>
    <n v="80.000000000008953"/>
    <n v="1.2903225806453056"/>
    <n v="12.500000000026379"/>
    <m/>
    <m/>
  </r>
  <r>
    <n v="32"/>
    <s v="Short"/>
    <n v="1"/>
    <n v="1.6754"/>
    <n v="1.6738999999999999"/>
    <x v="31"/>
    <d v="2014-04-11T06:54:51"/>
    <m/>
    <m/>
    <s v="JL9 Jump"/>
    <s v="T2"/>
    <d v="1900-01-05T00:00:00"/>
    <x v="1"/>
    <d v="1899-12-30T06:45:00"/>
    <x v="12"/>
    <n v="93.750000000003553"/>
    <m/>
    <m/>
    <m/>
    <m/>
    <m/>
    <m/>
    <n v="95.000000000009521"/>
    <n v="95.000000000009521"/>
    <n v="1.5079365079366591"/>
    <n v="106.25000000002993"/>
    <m/>
    <m/>
  </r>
  <r>
    <n v="32"/>
    <s v="Short"/>
    <n v="1"/>
    <n v="1.6754"/>
    <n v="1.6718"/>
    <x v="31"/>
    <d v="2014-04-11T07:42:54"/>
    <m/>
    <m/>
    <s v="JL9 Jump"/>
    <s v="Trailing Stop"/>
    <d v="1900-01-05T00:00:00"/>
    <x v="1"/>
    <d v="1899-12-30T07:30:00"/>
    <x v="17"/>
    <n v="225.00000000000298"/>
    <m/>
    <m/>
    <m/>
    <m/>
    <m/>
    <m/>
    <n v="131.00000000001"/>
    <n v="131.00000000001"/>
    <n v="2.0468750000001563"/>
    <n v="331.25000000003291"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  <r>
    <m/>
    <m/>
    <m/>
    <m/>
    <m/>
    <x v="32"/>
    <m/>
    <m/>
    <m/>
    <m/>
    <m/>
    <m/>
    <x v="12"/>
    <m/>
    <x v="18"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8">
  <r>
    <s v="Short"/>
    <n v="1"/>
    <n v="1.6705000000000001"/>
    <n v="1.6693"/>
    <d v="2014-03-03T03:00:10"/>
    <d v="2014-03-03T04:13:46"/>
    <m/>
    <m/>
    <x v="0"/>
    <x v="0"/>
    <x v="0"/>
    <d v="1899-12-30T03:00:00"/>
    <d v="1899-12-30T04:00:00"/>
    <n v="70"/>
    <n v="75.000000000005613"/>
    <n v="0"/>
    <n v="0"/>
    <n v="0"/>
    <n v="0"/>
    <n v="0"/>
    <n v="0"/>
    <n v="12.000000000000899"/>
    <n v="12.000000000000899"/>
    <n v="12.000000000000899"/>
    <n v="75.000000000005613"/>
    <m/>
    <s v="GIS"/>
  </r>
  <r>
    <s v="Short"/>
    <n v="1"/>
    <n v="1.6705000000000001"/>
    <n v="1.6700999999999999"/>
    <d v="2014-03-03T03:00:10"/>
    <d v="2014-03-03T04:28:03"/>
    <m/>
    <m/>
    <x v="0"/>
    <x v="1"/>
    <x v="0"/>
    <d v="1899-12-30T03:00:00"/>
    <d v="1899-12-30T04:15:00"/>
    <n v="85"/>
    <n v="25.000000000011124"/>
    <m/>
    <m/>
    <m/>
    <m/>
    <m/>
    <m/>
    <n v="16.000000000002679"/>
    <n v="16.000000000002679"/>
    <n v="8.0000000000013394"/>
    <n v="100.00000000001674"/>
    <m/>
    <s v="GIS"/>
  </r>
  <r>
    <s v="Short"/>
    <n v="1"/>
    <n v="1.6657999999999999"/>
    <n v="1.6668000000000001"/>
    <d v="2014-03-04T05:03:42"/>
    <d v="2014-03-04T05:21:56"/>
    <m/>
    <m/>
    <x v="1"/>
    <x v="2"/>
    <x v="1"/>
    <d v="1899-12-30T05:00:00"/>
    <d v="1899-12-30T05:15:00"/>
    <n v="15"/>
    <n v="-62.500000000006992"/>
    <m/>
    <m/>
    <m/>
    <m/>
    <m/>
    <m/>
    <n v="6.0000000000015596"/>
    <n v="6.0000000000015596"/>
    <n v="2.00000000000052"/>
    <n v="-62.500000000006992"/>
    <m/>
    <m/>
  </r>
  <r>
    <s v="Short"/>
    <n v="1"/>
    <n v="1.6657999999999999"/>
    <n v="1.6668000000000001"/>
    <d v="2014-03-04T05:03:42"/>
    <d v="2014-03-04T05:21:56"/>
    <m/>
    <m/>
    <x v="1"/>
    <x v="2"/>
    <x v="1"/>
    <d v="1899-12-30T05:00:00"/>
    <d v="1899-12-30T05:15:00"/>
    <n v="15"/>
    <n v="-62.500000000006992"/>
    <m/>
    <m/>
    <m/>
    <m/>
    <m/>
    <m/>
    <n v="-3.9999999999995595"/>
    <n v="-3.9999999999995595"/>
    <n v="-0.99999999999988987"/>
    <n v="-125.00000000001398"/>
    <m/>
    <m/>
  </r>
  <r>
    <s v="Long"/>
    <n v="1"/>
    <n v="1.6665000000000001"/>
    <n v="1.667"/>
    <d v="2014-03-05T03:10:00"/>
    <d v="2014-03-05T03:10:00"/>
    <m/>
    <m/>
    <x v="2"/>
    <x v="3"/>
    <x v="2"/>
    <d v="1899-12-30T03:00:00"/>
    <d v="1899-12-30T03:00:00"/>
    <n v="0"/>
    <n v="31.249999999996557"/>
    <m/>
    <m/>
    <m/>
    <m/>
    <m/>
    <m/>
    <n v="0.99999999999988987"/>
    <n v="0.99999999999988987"/>
    <n v="0.19999999999997797"/>
    <n v="31.249999999996557"/>
    <m/>
    <m/>
  </r>
  <r>
    <s v="Long"/>
    <n v="1"/>
    <n v="1.6665000000000001"/>
    <n v="1.667"/>
    <d v="2014-03-05T03:10:00"/>
    <d v="2014-03-05T04:17:41"/>
    <m/>
    <m/>
    <x v="2"/>
    <x v="3"/>
    <x v="2"/>
    <d v="1899-12-30T03:00:00"/>
    <d v="1899-12-30T04:15:00"/>
    <n v="65"/>
    <n v="31.249999999996557"/>
    <m/>
    <m/>
    <m/>
    <m/>
    <m/>
    <m/>
    <n v="5.9999999999993392"/>
    <n v="5.9999999999993392"/>
    <n v="0.99999999999988987"/>
    <n v="62.499999999993115"/>
    <m/>
    <m/>
  </r>
  <r>
    <s v="Short"/>
    <n v="1"/>
    <n v="1.6692"/>
    <n v="1.6702999999999999"/>
    <d v="2014-03-06T04:12:27"/>
    <d v="2014-03-06T04:25:40"/>
    <m/>
    <m/>
    <x v="0"/>
    <x v="2"/>
    <x v="3"/>
    <d v="1899-12-30T04:00:00"/>
    <d v="1899-12-30T04:15:00"/>
    <n v="10"/>
    <n v="-68.749999999992426"/>
    <m/>
    <m/>
    <m/>
    <m/>
    <m/>
    <m/>
    <n v="-4.9999999999994493"/>
    <n v="-4.9999999999994493"/>
    <n v="-0.71428571428563559"/>
    <n v="-68.749999999992426"/>
    <m/>
    <m/>
  </r>
  <r>
    <s v="Short"/>
    <n v="1"/>
    <n v="1.6692"/>
    <n v="1.6702999999999999"/>
    <d v="2014-03-06T04:12:27"/>
    <d v="2014-03-06T04:25:40"/>
    <m/>
    <m/>
    <x v="0"/>
    <x v="2"/>
    <x v="3"/>
    <d v="1899-12-30T04:00:00"/>
    <d v="1899-12-30T04:15:00"/>
    <n v="10"/>
    <n v="-68.749999999992426"/>
    <m/>
    <m/>
    <m/>
    <m/>
    <m/>
    <m/>
    <n v="-15.999999999998238"/>
    <n v="-15.999999999998238"/>
    <n v="-1.9999999999997797"/>
    <n v="-137.49999999998485"/>
    <m/>
    <m/>
  </r>
  <r>
    <s v="Long"/>
    <n v="1"/>
    <n v="1.6718999999999999"/>
    <n v="1.6731"/>
    <d v="2014-03-06T07:01:16"/>
    <d v="2014-03-06T07:01:19"/>
    <m/>
    <m/>
    <x v="0"/>
    <x v="0"/>
    <x v="3"/>
    <d v="1899-12-30T07:00:00"/>
    <d v="1899-12-30T07:00:00"/>
    <n v="0"/>
    <n v="75.000000000005613"/>
    <m/>
    <m/>
    <m/>
    <m/>
    <m/>
    <m/>
    <n v="-3.999999999997339"/>
    <n v="-3.999999999997339"/>
    <n v="-0.44444444444414877"/>
    <n v="75.000000000005613"/>
    <m/>
    <m/>
  </r>
  <r>
    <s v="Long"/>
    <n v="1"/>
    <n v="1.6718999999999999"/>
    <n v="1.6727000000000001"/>
    <d v="2014-03-06T07:01:16"/>
    <d v="2014-03-06T07:02:10"/>
    <m/>
    <m/>
    <x v="0"/>
    <x v="1"/>
    <x v="3"/>
    <d v="1899-12-30T07:00:00"/>
    <d v="1899-12-30T07:00:00"/>
    <n v="0"/>
    <n v="50.00000000000837"/>
    <m/>
    <m/>
    <m/>
    <m/>
    <m/>
    <m/>
    <n v="4.0000000000040004"/>
    <n v="4.0000000000040004"/>
    <n v="0.40000000000040004"/>
    <n v="125.00000000001398"/>
    <m/>
    <s v="JL4 Trailed"/>
  </r>
  <r>
    <s v="Long"/>
    <n v="1"/>
    <n v="1.6735"/>
    <n v="1.6753"/>
    <d v="2014-03-07T03:42:15"/>
    <d v="2014-03-07T04:14:55"/>
    <m/>
    <m/>
    <x v="0"/>
    <x v="0"/>
    <x v="4"/>
    <d v="1899-12-30T03:30:00"/>
    <d v="1899-12-30T04:00:00"/>
    <n v="30"/>
    <n v="112.50000000000149"/>
    <m/>
    <m/>
    <m/>
    <m/>
    <m/>
    <m/>
    <n v="22.000000000004238"/>
    <n v="22.000000000004238"/>
    <n v="2.0000000000003855"/>
    <n v="237.50000000001546"/>
    <m/>
    <m/>
  </r>
  <r>
    <s v="Long"/>
    <n v="1"/>
    <n v="1.6735"/>
    <n v="1.6749000000000001"/>
    <d v="2014-03-07T03:42:15"/>
    <d v="2014-03-07T04:37:20"/>
    <m/>
    <m/>
    <x v="0"/>
    <x v="1"/>
    <x v="4"/>
    <d v="1899-12-30T03:30:00"/>
    <d v="1899-12-30T04:30:00"/>
    <n v="55"/>
    <n v="87.500000000004235"/>
    <m/>
    <m/>
    <m/>
    <m/>
    <m/>
    <m/>
    <n v="36.000000000004917"/>
    <n v="36.000000000004917"/>
    <n v="3.0000000000004099"/>
    <n v="325.00000000001967"/>
    <m/>
    <m/>
  </r>
  <r>
    <s v="Long"/>
    <n v="1"/>
    <n v="1.6617"/>
    <n v="1.6618999999999999"/>
    <d v="2014-03-11T04:32:53"/>
    <d v="2014-03-11T04:55:16"/>
    <m/>
    <m/>
    <x v="0"/>
    <x v="3"/>
    <x v="1"/>
    <d v="1899-12-30T04:30:00"/>
    <d v="1899-12-30T04:45:00"/>
    <n v="20"/>
    <n v="12.499999999998623"/>
    <m/>
    <m/>
    <m/>
    <m/>
    <m/>
    <m/>
    <n v="38.000000000004697"/>
    <n v="38.000000000004697"/>
    <n v="2.9230769230772844"/>
    <n v="337.5000000000183"/>
    <m/>
    <m/>
  </r>
  <r>
    <s v="Long"/>
    <n v="1"/>
    <n v="1.6617"/>
    <n v="1.6618999999999999"/>
    <d v="2014-03-11T04:32:53"/>
    <d v="2014-03-11T04:55:16"/>
    <m/>
    <m/>
    <x v="0"/>
    <x v="3"/>
    <x v="1"/>
    <d v="1899-12-30T04:30:00"/>
    <d v="1899-12-30T04:45:00"/>
    <n v="20"/>
    <n v="12.499999999998623"/>
    <m/>
    <m/>
    <m/>
    <m/>
    <m/>
    <m/>
    <n v="40.000000000004476"/>
    <n v="40.000000000004476"/>
    <n v="2.857142857143177"/>
    <n v="350.00000000001694"/>
    <m/>
    <m/>
  </r>
  <r>
    <s v="Short"/>
    <n v="1"/>
    <n v="1.6607000000000001"/>
    <n v="1.6591"/>
    <d v="2014-03-12T04:04:06"/>
    <d v="2014-03-12T04:26:11"/>
    <m/>
    <m/>
    <x v="0"/>
    <x v="0"/>
    <x v="2"/>
    <d v="1899-12-30T04:00:00"/>
    <d v="1899-12-30T04:15:00"/>
    <n v="20"/>
    <n v="100.00000000000287"/>
    <m/>
    <m/>
    <m/>
    <m/>
    <m/>
    <m/>
    <n v="56.000000000004931"/>
    <n v="56.000000000004931"/>
    <n v="3.733333333333662"/>
    <n v="450.00000000001978"/>
    <m/>
    <m/>
  </r>
  <r>
    <s v="Short"/>
    <n v="1"/>
    <n v="1.6607000000000001"/>
    <n v="1.6600999999999999"/>
    <d v="2014-03-12T04:04:06"/>
    <d v="2014-03-12T04:36:09"/>
    <m/>
    <m/>
    <x v="0"/>
    <x v="1"/>
    <x v="2"/>
    <d v="1899-12-30T04:00:00"/>
    <d v="1899-12-30T04:30:00"/>
    <n v="30"/>
    <n v="37.500000000009749"/>
    <m/>
    <m/>
    <m/>
    <m/>
    <m/>
    <m/>
    <n v="62.000000000006494"/>
    <n v="62.000000000006494"/>
    <n v="3.8750000000004059"/>
    <n v="487.50000000002956"/>
    <m/>
    <m/>
  </r>
  <r>
    <s v="Long"/>
    <n v="1"/>
    <n v="1.6669"/>
    <n v="1.6655"/>
    <d v="2014-03-13T03:06:41"/>
    <d v="2014-03-13T03:56:36"/>
    <m/>
    <m/>
    <x v="0"/>
    <x v="2"/>
    <x v="3"/>
    <d v="1899-12-30T03:00:00"/>
    <d v="1899-12-30T03:45:00"/>
    <n v="45"/>
    <n v="-87.500000000004235"/>
    <m/>
    <m/>
    <m/>
    <m/>
    <m/>
    <m/>
    <n v="48.000000000005819"/>
    <n v="48.000000000005819"/>
    <n v="2.823529411765048"/>
    <n v="-87.500000000004235"/>
    <m/>
    <m/>
  </r>
  <r>
    <s v="Long"/>
    <n v="1"/>
    <n v="1.6669"/>
    <n v="1.6655"/>
    <d v="2014-03-13T03:06:41"/>
    <d v="2014-03-13T03:56:36"/>
    <m/>
    <m/>
    <x v="0"/>
    <x v="2"/>
    <x v="3"/>
    <d v="1899-12-30T03:00:00"/>
    <d v="1899-12-30T03:45:00"/>
    <n v="45"/>
    <n v="-87.500000000004235"/>
    <m/>
    <m/>
    <m/>
    <m/>
    <m/>
    <m/>
    <n v="34.000000000005144"/>
    <n v="34.000000000005144"/>
    <n v="1.8888888888891746"/>
    <n v="-175.00000000000847"/>
    <m/>
    <m/>
  </r>
  <r>
    <s v="Long"/>
    <n v="1"/>
    <n v="1.6664000000000001"/>
    <n v="1.6674"/>
    <d v="2014-03-13T05:19:51"/>
    <d v="2014-03-13T05:29:33"/>
    <m/>
    <m/>
    <x v="0"/>
    <x v="0"/>
    <x v="3"/>
    <d v="1899-12-30T05:15:00"/>
    <d v="1899-12-30T05:15:00"/>
    <n v="5"/>
    <n v="62.499999999993115"/>
    <m/>
    <m/>
    <m/>
    <m/>
    <m/>
    <m/>
    <n v="44.000000000004043"/>
    <n v="44.000000000004043"/>
    <n v="2.3157894736844233"/>
    <n v="62.499999999993115"/>
    <m/>
    <m/>
  </r>
  <r>
    <s v="Long"/>
    <n v="1"/>
    <n v="1.6664000000000001"/>
    <n v="1.6669"/>
    <d v="2014-03-13T05:19:51"/>
    <d v="2014-03-13T06:11:49"/>
    <m/>
    <m/>
    <x v="0"/>
    <x v="1"/>
    <x v="3"/>
    <d v="1899-12-30T05:15:00"/>
    <d v="1899-12-30T06:00:00"/>
    <n v="50"/>
    <n v="31.249999999996557"/>
    <m/>
    <m/>
    <m/>
    <m/>
    <m/>
    <m/>
    <n v="49.000000000003496"/>
    <n v="49.000000000003496"/>
    <n v="2.4500000000001747"/>
    <n v="93.749999999989669"/>
    <m/>
    <m/>
  </r>
  <r>
    <s v="Short"/>
    <n v="1"/>
    <n v="1.6591"/>
    <n v="1.6611"/>
    <d v="2014-03-14T03:15:43"/>
    <d v="2014-03-14T04:57:24"/>
    <m/>
    <m/>
    <x v="0"/>
    <x v="2"/>
    <x v="4"/>
    <d v="1899-12-30T03:15:00"/>
    <d v="1899-12-30T04:45:00"/>
    <n v="100"/>
    <n v="-125.00000000000011"/>
    <m/>
    <m/>
    <m/>
    <m/>
    <m/>
    <m/>
    <n v="29.000000000003478"/>
    <n v="29.000000000003478"/>
    <n v="1.3809523809525466"/>
    <n v="-125.00000000000011"/>
    <m/>
    <m/>
  </r>
  <r>
    <s v="Short"/>
    <n v="1"/>
    <n v="1.6591"/>
    <n v="1.6611"/>
    <d v="2014-03-14T03:15:43"/>
    <d v="2014-03-14T04:57:24"/>
    <m/>
    <m/>
    <x v="0"/>
    <x v="2"/>
    <x v="4"/>
    <d v="1899-12-30T03:15:00"/>
    <d v="1899-12-30T04:45:00"/>
    <n v="100"/>
    <n v="-125.00000000000011"/>
    <m/>
    <m/>
    <m/>
    <m/>
    <m/>
    <m/>
    <n v="9.0000000000034603"/>
    <n v="9.0000000000034603"/>
    <n v="0.40909090909106638"/>
    <n v="-250.00000000000023"/>
    <m/>
    <m/>
  </r>
  <r>
    <s v="Long"/>
    <n v="1"/>
    <n v="1.6638999999999999"/>
    <n v="1.6629"/>
    <d v="2014-03-17T05:05:11"/>
    <d v="2014-03-17T05:33:22"/>
    <m/>
    <m/>
    <x v="0"/>
    <x v="2"/>
    <x v="0"/>
    <d v="1899-12-30T05:00:00"/>
    <d v="1899-12-30T05:30:00"/>
    <n v="25"/>
    <n v="-62.499999999993115"/>
    <m/>
    <m/>
    <m/>
    <m/>
    <m/>
    <m/>
    <n v="-0.99999999999543832"/>
    <n v="-0.99999999999543832"/>
    <n v="-4.3478260869366882E-2"/>
    <n v="-312.49999999999335"/>
    <m/>
    <m/>
  </r>
  <r>
    <s v="Long"/>
    <n v="1"/>
    <n v="1.6638999999999999"/>
    <n v="1.6629"/>
    <d v="2014-03-17T05:05:11"/>
    <d v="2014-03-17T05:33:22"/>
    <m/>
    <m/>
    <x v="0"/>
    <x v="2"/>
    <x v="0"/>
    <d v="1899-12-30T05:00:00"/>
    <d v="1899-12-30T05:30:00"/>
    <n v="25"/>
    <n v="-62.499999999993115"/>
    <m/>
    <m/>
    <m/>
    <m/>
    <m/>
    <m/>
    <n v="-10.999999999994337"/>
    <n v="-10.999999999994337"/>
    <n v="-0.45833333333309739"/>
    <n v="-374.99999999998647"/>
    <m/>
    <m/>
  </r>
  <r>
    <s v="Short"/>
    <n v="1"/>
    <n v="1.6611"/>
    <n v="1.6597999999999999"/>
    <d v="2014-03-17T07:26:04"/>
    <d v="2014-03-17T07:26:56"/>
    <m/>
    <m/>
    <x v="2"/>
    <x v="0"/>
    <x v="0"/>
    <d v="1899-12-30T07:15:00"/>
    <d v="1899-12-30T07:15:00"/>
    <n v="0"/>
    <n v="81.250000000004931"/>
    <m/>
    <m/>
    <m/>
    <m/>
    <m/>
    <m/>
    <n v="2.0000000000064517"/>
    <n v="2.0000000000064517"/>
    <n v="8.0000000000258073E-2"/>
    <n v="81.250000000004931"/>
    <m/>
    <m/>
  </r>
  <r>
    <s v="Short"/>
    <n v="1"/>
    <n v="1.6611"/>
    <n v="1.6603000000000001"/>
    <d v="2014-03-17T07:26:04"/>
    <d v="2014-03-17T08:32:08"/>
    <m/>
    <m/>
    <x v="2"/>
    <x v="1"/>
    <x v="0"/>
    <d v="1899-12-30T07:15:00"/>
    <d v="1899-12-30T08:30:00"/>
    <n v="65"/>
    <n v="49.999999999994493"/>
    <m/>
    <m/>
    <m/>
    <m/>
    <m/>
    <m/>
    <n v="10.000000000005571"/>
    <n v="10.000000000005571"/>
    <n v="0.38461538461559885"/>
    <n v="131.24999999999943"/>
    <m/>
    <m/>
  </r>
  <r>
    <s v="Short"/>
    <n v="1"/>
    <n v="1.6605000000000001"/>
    <n v="1.6589"/>
    <d v="2014-03-18T03:45:49"/>
    <d v="2014-03-18T04:00:08"/>
    <m/>
    <m/>
    <x v="0"/>
    <x v="0"/>
    <x v="1"/>
    <d v="1899-12-30T03:45:00"/>
    <d v="1899-12-30T04:00:00"/>
    <n v="10"/>
    <n v="100.00000000000287"/>
    <m/>
    <m/>
    <m/>
    <m/>
    <m/>
    <m/>
    <n v="26.000000000006029"/>
    <n v="26.000000000006029"/>
    <n v="0.96296296296318629"/>
    <n v="231.2500000000023"/>
    <m/>
    <m/>
  </r>
  <r>
    <s v="Short"/>
    <n v="1"/>
    <n v="1.6605000000000001"/>
    <n v="1.6591"/>
    <d v="2014-03-18T03:45:49"/>
    <d v="2014-03-18T04:31:35"/>
    <m/>
    <m/>
    <x v="0"/>
    <x v="1"/>
    <x v="1"/>
    <d v="1899-12-30T03:45:00"/>
    <d v="1899-12-30T04:30:00"/>
    <n v="45"/>
    <n v="87.500000000004235"/>
    <m/>
    <m/>
    <m/>
    <m/>
    <m/>
    <m/>
    <n v="40.000000000006708"/>
    <n v="40.000000000006708"/>
    <n v="1.4285714285716682"/>
    <n v="318.75000000000654"/>
    <m/>
    <m/>
  </r>
  <r>
    <s v="Long"/>
    <n v="1"/>
    <n v="1.659"/>
    <n v="1.6601999999999999"/>
    <d v="2014-03-19T04:01:32"/>
    <d v="2014-03-19T04:01:32"/>
    <m/>
    <m/>
    <x v="0"/>
    <x v="0"/>
    <x v="2"/>
    <d v="1899-12-30T04:00:00"/>
    <d v="1899-12-30T04:00:00"/>
    <n v="0"/>
    <n v="74.999999999991743"/>
    <m/>
    <m/>
    <m/>
    <m/>
    <m/>
    <m/>
    <n v="52.000000000005386"/>
    <n v="52.000000000005386"/>
    <n v="1.7931034482760477"/>
    <n v="393.74999999999829"/>
    <m/>
    <m/>
  </r>
  <r>
    <s v="Long"/>
    <n v="1"/>
    <n v="1.659"/>
    <n v="1.6595"/>
    <d v="2014-03-19T04:01:32"/>
    <d v="2014-03-19T04:07:34"/>
    <m/>
    <m/>
    <x v="0"/>
    <x v="1"/>
    <x v="2"/>
    <d v="1899-12-30T04:00:00"/>
    <d v="1899-12-30T04:00:00"/>
    <n v="5"/>
    <n v="31.249999999996557"/>
    <m/>
    <m/>
    <m/>
    <m/>
    <m/>
    <m/>
    <n v="57.000000000004832"/>
    <n v="57.000000000004832"/>
    <n v="1.9000000000001611"/>
    <n v="424.99999999999483"/>
    <m/>
    <m/>
  </r>
  <r>
    <s v="Long"/>
    <n v="1"/>
    <n v="1.6545000000000001"/>
    <n v="1.6547000000000001"/>
    <d v="2014-03-20T04:07:25"/>
    <d v="2014-03-20T04:51:28"/>
    <m/>
    <m/>
    <x v="1"/>
    <x v="3"/>
    <x v="3"/>
    <d v="1899-12-30T04:00:00"/>
    <d v="1899-12-30T04:45:00"/>
    <n v="40"/>
    <n v="12.499999999998623"/>
    <m/>
    <m/>
    <m/>
    <m/>
    <m/>
    <m/>
    <n v="59.000000000004611"/>
    <n v="59.000000000004611"/>
    <n v="1.9032258064517618"/>
    <n v="437.49999999999346"/>
    <m/>
    <m/>
  </r>
  <r>
    <s v="Long"/>
    <n v="1"/>
    <n v="1.6545000000000001"/>
    <n v="1.6547000000000001"/>
    <d v="2014-03-20T04:07:25"/>
    <d v="2014-03-20T04:51:28"/>
    <m/>
    <m/>
    <x v="1"/>
    <x v="3"/>
    <x v="3"/>
    <d v="1899-12-30T04:00:00"/>
    <d v="1899-12-30T04:45:00"/>
    <n v="40"/>
    <n v="12.499999999998623"/>
    <m/>
    <m/>
    <m/>
    <m/>
    <m/>
    <m/>
    <n v="61.000000000004391"/>
    <n v="61.000000000004391"/>
    <n v="1.9062500000001372"/>
    <n v="449.9999999999921"/>
    <m/>
    <m/>
  </r>
  <r>
    <s v="Short"/>
    <n v="1"/>
    <n v="1.6528"/>
    <n v="1.6514"/>
    <d v="2014-03-20T06:00:38"/>
    <d v="2014-03-20T06:29:41"/>
    <m/>
    <m/>
    <x v="2"/>
    <x v="0"/>
    <x v="3"/>
    <d v="1899-12-30T06:00:00"/>
    <d v="1899-12-30T06:15:00"/>
    <n v="25"/>
    <n v="87.500000000004235"/>
    <m/>
    <m/>
    <m/>
    <m/>
    <m/>
    <m/>
    <n v="75.000000000005073"/>
    <n v="75.000000000005073"/>
    <n v="2.2727272727274266"/>
    <n v="537.49999999999636"/>
    <m/>
    <m/>
  </r>
  <r>
    <s v="Short"/>
    <n v="1"/>
    <n v="1.6528"/>
    <n v="1.6518999999999999"/>
    <d v="2014-03-20T06:00:38"/>
    <d v="2014-03-20T06:38:16"/>
    <m/>
    <m/>
    <x v="2"/>
    <x v="1"/>
    <x v="3"/>
    <d v="1899-12-30T06:00:00"/>
    <d v="1899-12-30T06:30:00"/>
    <n v="35"/>
    <n v="56.250000000007681"/>
    <m/>
    <m/>
    <m/>
    <m/>
    <m/>
    <m/>
    <n v="84.00000000000631"/>
    <n v="84.00000000000631"/>
    <n v="2.4705882352943034"/>
    <n v="593.75000000000409"/>
    <m/>
    <m/>
  </r>
  <r>
    <s v="Short"/>
    <n v="1"/>
    <n v="1.649"/>
    <n v="1.6472"/>
    <d v="2014-03-21T03:12:27"/>
    <d v="2014-03-21T04:00:17"/>
    <m/>
    <m/>
    <x v="0"/>
    <x v="0"/>
    <x v="4"/>
    <d v="1899-12-30T03:00:00"/>
    <d v="1899-12-30T04:00:00"/>
    <n v="45"/>
    <n v="112.50000000000149"/>
    <m/>
    <m/>
    <m/>
    <m/>
    <m/>
    <m/>
    <n v="102.00000000000655"/>
    <n v="102.00000000000655"/>
    <n v="2.9142857142859016"/>
    <n v="706.25000000000557"/>
    <m/>
    <m/>
  </r>
  <r>
    <s v="Short"/>
    <n v="1"/>
    <n v="1.649"/>
    <n v="1.6475"/>
    <d v="2014-03-21T03:12:27"/>
    <d v="2014-03-21T04:37:04"/>
    <m/>
    <m/>
    <x v="0"/>
    <x v="1"/>
    <x v="4"/>
    <d v="1899-12-30T03:00:00"/>
    <d v="1899-12-30T04:30:00"/>
    <n v="80"/>
    <n v="93.750000000003553"/>
    <m/>
    <m/>
    <m/>
    <m/>
    <m/>
    <m/>
    <n v="117.00000000000712"/>
    <n v="117.00000000000712"/>
    <n v="3.2500000000001976"/>
    <n v="800.00000000000909"/>
    <m/>
    <m/>
  </r>
  <r>
    <s v="Long"/>
    <n v="1"/>
    <n v="1.6494"/>
    <n v="1.6476999999999999"/>
    <d v="2014-03-24T04:00:00"/>
    <d v="2014-03-24T04:57:37"/>
    <m/>
    <m/>
    <x v="1"/>
    <x v="2"/>
    <x v="0"/>
    <d v="1899-12-30T04:00:00"/>
    <d v="1899-12-30T04:45:00"/>
    <n v="55"/>
    <n v="-106.25000000000217"/>
    <m/>
    <m/>
    <m/>
    <m/>
    <m/>
    <m/>
    <n v="100.00000000000676"/>
    <n v="100.00000000000676"/>
    <n v="2.7027027027028856"/>
    <n v="-106.25000000000217"/>
    <m/>
    <m/>
  </r>
  <r>
    <s v="Long"/>
    <n v="1"/>
    <n v="1.6494"/>
    <n v="1.6476999999999999"/>
    <d v="2014-03-24T04:00:00"/>
    <d v="2014-03-24T04:57:37"/>
    <m/>
    <m/>
    <x v="1"/>
    <x v="2"/>
    <x v="0"/>
    <d v="1899-12-30T04:00:00"/>
    <d v="1899-12-30T04:45:00"/>
    <n v="55"/>
    <n v="-106.25000000000217"/>
    <m/>
    <m/>
    <m/>
    <m/>
    <m/>
    <m/>
    <n v="83.000000000006423"/>
    <n v="83.000000000006423"/>
    <n v="2.1842105263159586"/>
    <n v="-212.50000000000435"/>
    <m/>
    <m/>
  </r>
  <r>
    <s v="Short"/>
    <n v="1"/>
    <n v="1.6476"/>
    <n v="1.6493"/>
    <d v="2014-03-25T03:46:22"/>
    <d v="2014-03-25T05:30:16"/>
    <m/>
    <m/>
    <x v="3"/>
    <x v="2"/>
    <x v="1"/>
    <d v="1899-12-30T03:45:00"/>
    <d v="1899-12-30T05:30:00"/>
    <n v="100"/>
    <n v="-106.25000000000217"/>
    <m/>
    <m/>
    <m/>
    <m/>
    <m/>
    <m/>
    <n v="66.000000000006082"/>
    <n v="66.000000000006082"/>
    <n v="1.6923076923078482"/>
    <n v="-318.75000000000654"/>
    <m/>
    <m/>
  </r>
  <r>
    <s v="Short"/>
    <n v="1"/>
    <n v="1.6476"/>
    <n v="1.6493"/>
    <d v="2014-03-25T03:46:22"/>
    <d v="2014-03-25T05:30:16"/>
    <m/>
    <m/>
    <x v="3"/>
    <x v="2"/>
    <x v="1"/>
    <d v="1899-12-30T03:45:00"/>
    <d v="1899-12-30T05:30:00"/>
    <n v="100"/>
    <n v="-106.25000000000217"/>
    <m/>
    <m/>
    <m/>
    <m/>
    <m/>
    <m/>
    <n v="49.000000000005734"/>
    <n v="49.000000000005734"/>
    <n v="1.2250000000001433"/>
    <n v="-425.0000000000087"/>
    <m/>
    <m/>
  </r>
  <r>
    <s v="Long"/>
    <n v="1"/>
    <n v="1.6536"/>
    <n v="1.6536999999999999"/>
    <d v="2014-03-26T04:04:23"/>
    <d v="2014-03-26T04:12:38"/>
    <m/>
    <m/>
    <x v="0"/>
    <x v="4"/>
    <x v="2"/>
    <d v="1899-12-30T04:00:00"/>
    <d v="1899-12-30T04:00:00"/>
    <n v="5"/>
    <n v="6.2499999999993117"/>
    <m/>
    <m/>
    <m/>
    <m/>
    <m/>
    <m/>
    <n v="50.000000000005627"/>
    <n v="50.000000000005627"/>
    <n v="1.2195121951220884"/>
    <n v="6.2499999999993117"/>
    <m/>
    <m/>
  </r>
  <r>
    <s v="Long"/>
    <n v="1"/>
    <n v="1.6536"/>
    <n v="1.6536999999999999"/>
    <d v="2014-03-26T04:04:23"/>
    <d v="2014-03-26T04:12:38"/>
    <m/>
    <m/>
    <x v="0"/>
    <x v="4"/>
    <x v="2"/>
    <d v="1899-12-30T04:00:00"/>
    <d v="1899-12-30T04:00:00"/>
    <n v="5"/>
    <n v="6.2499999999993117"/>
    <m/>
    <m/>
    <m/>
    <m/>
    <m/>
    <m/>
    <n v="51.000000000005514"/>
    <n v="51.000000000005514"/>
    <n v="1.2142857142858456"/>
    <n v="12.499999999998623"/>
    <m/>
    <m/>
  </r>
  <r>
    <s v="Long"/>
    <n v="1"/>
    <n v="1.6564000000000001"/>
    <n v="1.6578999999999999"/>
    <d v="2014-03-27T05:21:11"/>
    <d v="2014-03-27T05:30:00"/>
    <m/>
    <m/>
    <x v="3"/>
    <x v="0"/>
    <x v="3"/>
    <d v="1899-12-30T05:15:00"/>
    <d v="1899-12-30T05:30:00"/>
    <n v="5"/>
    <n v="93.749999999989669"/>
    <m/>
    <m/>
    <m/>
    <m/>
    <m/>
    <m/>
    <n v="66.000000000003865"/>
    <n v="66.000000000003865"/>
    <n v="1.5348837209303225"/>
    <n v="106.24999999998829"/>
    <m/>
    <m/>
  </r>
  <r>
    <s v="Long"/>
    <n v="1"/>
    <n v="1.6564000000000001"/>
    <n v="1.6608000000000001"/>
    <d v="2014-03-27T05:21:11"/>
    <d v="2014-03-27T05:30:15"/>
    <m/>
    <m/>
    <x v="3"/>
    <x v="1"/>
    <x v="3"/>
    <d v="1899-12-30T05:15:00"/>
    <d v="1899-12-30T05:30:00"/>
    <n v="5"/>
    <n v="274.99999999999744"/>
    <m/>
    <m/>
    <m/>
    <m/>
    <m/>
    <m/>
    <n v="110.00000000000345"/>
    <n v="110.00000000000345"/>
    <n v="2.5000000000000786"/>
    <n v="381.24999999998573"/>
    <m/>
    <m/>
  </r>
  <r>
    <s v="Short"/>
    <n v="1"/>
    <n v="1.6617"/>
    <n v="1.6628000000000001"/>
    <d v="2014-03-31T04:46:18"/>
    <d v="2014-03-31T05:00:00"/>
    <m/>
    <m/>
    <x v="2"/>
    <x v="2"/>
    <x v="0"/>
    <d v="1899-12-30T04:45:00"/>
    <d v="1899-12-30T05:00:00"/>
    <n v="10"/>
    <n v="-68.75000000000631"/>
    <m/>
    <m/>
    <m/>
    <m/>
    <m/>
    <m/>
    <n v="99.000000000002444"/>
    <n v="99.000000000002444"/>
    <n v="2.2000000000000544"/>
    <n v="-68.75000000000631"/>
    <m/>
    <m/>
  </r>
  <r>
    <s v="Short"/>
    <n v="1"/>
    <n v="1.6617"/>
    <n v="1.6628000000000001"/>
    <d v="2014-03-31T04:46:18"/>
    <d v="2014-03-31T05:00:00"/>
    <m/>
    <m/>
    <x v="2"/>
    <x v="2"/>
    <x v="0"/>
    <d v="1899-12-30T04:45:00"/>
    <d v="1899-12-30T05:00:00"/>
    <n v="10"/>
    <n v="-68.75000000000631"/>
    <m/>
    <m/>
    <m/>
    <m/>
    <m/>
    <m/>
    <n v="88.000000000001435"/>
    <n v="88.000000000001435"/>
    <n v="1.9130434782609007"/>
    <n v="-137.50000000001262"/>
    <m/>
    <m/>
  </r>
  <r>
    <s v="Short"/>
    <n v="1"/>
    <n v="1.6631"/>
    <n v="1.6641999999999999"/>
    <d v="2014-04-01T05:00:56"/>
    <d v="2014-04-01T05:11:38"/>
    <m/>
    <m/>
    <x v="1"/>
    <x v="2"/>
    <x v="1"/>
    <d v="1899-12-30T05:00:00"/>
    <d v="1899-12-30T05:00:00"/>
    <n v="10"/>
    <n v="-68.749999999992426"/>
    <m/>
    <m/>
    <m/>
    <m/>
    <m/>
    <m/>
    <n v="77.000000000002643"/>
    <n v="77.000000000002643"/>
    <n v="1.6382978723404817"/>
    <n v="-206.25000000000506"/>
    <m/>
    <m/>
  </r>
  <r>
    <s v="Short"/>
    <n v="1"/>
    <n v="1.6631"/>
    <n v="1.6641999999999999"/>
    <d v="2014-04-01T05:00:56"/>
    <d v="2014-04-01T05:11:38"/>
    <m/>
    <m/>
    <x v="1"/>
    <x v="2"/>
    <x v="1"/>
    <d v="1899-12-30T05:00:00"/>
    <d v="1899-12-30T05:00:00"/>
    <n v="10"/>
    <n v="-68.749999999992426"/>
    <m/>
    <m/>
    <m/>
    <m/>
    <m/>
    <m/>
    <n v="66.000000000003851"/>
    <n v="66.000000000003851"/>
    <n v="1.3750000000000802"/>
    <n v="-274.9999999999975"/>
    <m/>
    <m/>
  </r>
  <r>
    <s v="Long"/>
    <n v="1"/>
    <n v="1.6637"/>
    <n v="1.6648000000000001"/>
    <d v="2014-04-02T03:51:41"/>
    <d v="2014-04-02T04:19:24"/>
    <m/>
    <m/>
    <x v="2"/>
    <x v="0"/>
    <x v="2"/>
    <d v="1899-12-30T03:45:00"/>
    <d v="1899-12-30T04:15:00"/>
    <n v="25"/>
    <n v="68.75000000000631"/>
    <m/>
    <m/>
    <m/>
    <m/>
    <m/>
    <m/>
    <n v="77.00000000000486"/>
    <n v="77.00000000000486"/>
    <n v="1.5714285714286707"/>
    <n v="68.75000000000631"/>
    <m/>
    <m/>
  </r>
  <r>
    <s v="Long"/>
    <n v="1"/>
    <n v="1.6637"/>
    <n v="1.6644000000000001"/>
    <d v="2014-04-02T03:51:41"/>
    <d v="2014-04-02T04:28:56"/>
    <m/>
    <m/>
    <x v="2"/>
    <x v="1"/>
    <x v="2"/>
    <d v="1899-12-30T03:45:00"/>
    <d v="1899-12-30T04:15:00"/>
    <n v="35"/>
    <n v="43.750000000009059"/>
    <m/>
    <m/>
    <m/>
    <m/>
    <m/>
    <m/>
    <n v="84.00000000000631"/>
    <n v="84.00000000000631"/>
    <n v="1.6800000000001263"/>
    <n v="112.50000000001538"/>
    <m/>
    <m/>
  </r>
  <r>
    <s v="Long"/>
    <n v="1"/>
    <n v="1.6642999999999999"/>
    <n v="1.6649"/>
    <d v="2014-04-03T03:09:21"/>
    <d v="2014-04-03T03:16:09"/>
    <m/>
    <m/>
    <x v="0"/>
    <x v="0"/>
    <x v="3"/>
    <d v="1899-12-30T03:00:00"/>
    <d v="1899-12-30T03:15:00"/>
    <n v="5"/>
    <n v="37.500000000009749"/>
    <m/>
    <m/>
    <m/>
    <m/>
    <m/>
    <m/>
    <n v="90.000000000007873"/>
    <n v="90.000000000007873"/>
    <n v="1.7647058823530954"/>
    <n v="150.00000000002512"/>
    <m/>
    <m/>
  </r>
  <r>
    <s v="Long"/>
    <n v="1"/>
    <n v="1.6642999999999999"/>
    <n v="1.6642999999999999"/>
    <d v="2014-04-03T03:09:21"/>
    <d v="2014-04-03T03:16:09"/>
    <m/>
    <m/>
    <x v="0"/>
    <x v="4"/>
    <x v="3"/>
    <d v="1899-12-30T03:00:00"/>
    <d v="1899-12-30T03:15:00"/>
    <n v="5"/>
    <n v="0"/>
    <m/>
    <m/>
    <m/>
    <m/>
    <m/>
    <m/>
    <n v="90.000000000007873"/>
    <n v="90.000000000007873"/>
    <n v="1.7307692307693823"/>
    <n v="0"/>
    <m/>
    <m/>
  </r>
  <r>
    <s v="Short"/>
    <n v="1"/>
    <n v="1.6556999999999999"/>
    <n v="1.6571"/>
    <d v="2014-04-07T03:42:44"/>
    <d v="2014-04-07T04:12:18"/>
    <m/>
    <m/>
    <x v="2"/>
    <x v="2"/>
    <x v="0"/>
    <d v="1899-12-30T03:30:00"/>
    <d v="1899-12-30T04:00:00"/>
    <n v="25"/>
    <n v="-87.500000000004235"/>
    <m/>
    <m/>
    <m/>
    <m/>
    <m/>
    <m/>
    <n v="76.000000000007191"/>
    <n v="76.000000000007191"/>
    <n v="1.433962264151079"/>
    <n v="-87.500000000004235"/>
    <m/>
    <m/>
  </r>
  <r>
    <s v="Short"/>
    <n v="1"/>
    <n v="1.6556999999999999"/>
    <n v="1.6571"/>
    <d v="2014-04-07T03:42:44"/>
    <d v="2014-04-07T04:12:18"/>
    <m/>
    <m/>
    <x v="2"/>
    <x v="2"/>
    <x v="0"/>
    <d v="1899-12-30T03:30:00"/>
    <d v="1899-12-30T04:00:00"/>
    <n v="25"/>
    <n v="-87.500000000004235"/>
    <m/>
    <m/>
    <m/>
    <m/>
    <m/>
    <m/>
    <n v="62.000000000006516"/>
    <n v="62.000000000006516"/>
    <n v="1.1481481481482687"/>
    <n v="-175.00000000000847"/>
    <m/>
    <m/>
  </r>
  <r>
    <s v="Long"/>
    <n v="1"/>
    <n v="1.6667000000000001"/>
    <n v="1.6695"/>
    <d v="2014-04-08T04:30:00"/>
    <d v="2014-04-08T04:36:43"/>
    <m/>
    <m/>
    <x v="1"/>
    <x v="3"/>
    <x v="1"/>
    <d v="1899-12-30T04:30:00"/>
    <d v="1899-12-30T04:30:00"/>
    <n v="5"/>
    <n v="174.9999999999946"/>
    <m/>
    <m/>
    <m/>
    <m/>
    <m/>
    <m/>
    <n v="90.000000000005656"/>
    <n v="90.000000000005656"/>
    <n v="1.6363636363637393"/>
    <n v="174.9999999999946"/>
    <m/>
    <m/>
  </r>
  <r>
    <s v="Long"/>
    <n v="1"/>
    <n v="1.6667000000000001"/>
    <n v="1.6695"/>
    <d v="2014-04-08T04:30:00"/>
    <d v="2014-04-08T04:36:43"/>
    <m/>
    <m/>
    <x v="1"/>
    <x v="3"/>
    <x v="1"/>
    <d v="1899-12-30T04:30:00"/>
    <d v="1899-12-30T04:30:00"/>
    <n v="5"/>
    <n v="174.9999999999946"/>
    <m/>
    <m/>
    <m/>
    <m/>
    <m/>
    <m/>
    <n v="118.00000000000479"/>
    <n v="118.00000000000479"/>
    <n v="2.1071428571429425"/>
    <n v="349.9999999999892"/>
    <m/>
    <m/>
  </r>
  <r>
    <s v="Short"/>
    <n v="1"/>
    <n v="1.6727000000000001"/>
    <n v="1.6737"/>
    <d v="2014-04-09T03:10:40"/>
    <d v="2014-04-09T03:59:52"/>
    <m/>
    <m/>
    <x v="0"/>
    <x v="2"/>
    <x v="2"/>
    <d v="1899-12-30T03:00:00"/>
    <d v="1899-12-30T03:45:00"/>
    <n v="45"/>
    <n v="-62.499999999993115"/>
    <m/>
    <m/>
    <m/>
    <m/>
    <m/>
    <m/>
    <n v="108.00000000000588"/>
    <n v="108.00000000000588"/>
    <n v="1.8947368421053663"/>
    <n v="-62.499999999993115"/>
    <m/>
    <m/>
  </r>
  <r>
    <s v="Short"/>
    <n v="1"/>
    <n v="1.6727000000000001"/>
    <n v="1.6737"/>
    <d v="2014-04-09T03:10:40"/>
    <d v="2014-04-09T03:59:52"/>
    <m/>
    <m/>
    <x v="0"/>
    <x v="2"/>
    <x v="2"/>
    <d v="1899-12-30T03:00:00"/>
    <d v="1899-12-30T03:45:00"/>
    <n v="45"/>
    <n v="-62.499999999993115"/>
    <m/>
    <m/>
    <m/>
    <m/>
    <m/>
    <m/>
    <n v="98.000000000006992"/>
    <n v="98.000000000006992"/>
    <n v="1.6896551724139137"/>
    <n v="-124.99999999998623"/>
    <m/>
    <m/>
  </r>
  <r>
    <s v="Long"/>
    <n v="1"/>
    <n v="1.679"/>
    <n v="1.6779999999999999"/>
    <d v="2014-04-09T03:06:53"/>
    <d v="2014-04-09T03:22:47"/>
    <m/>
    <m/>
    <x v="0"/>
    <x v="2"/>
    <x v="2"/>
    <d v="1899-12-30T03:00:00"/>
    <d v="1899-12-30T03:15:00"/>
    <n v="15"/>
    <n v="-62.500000000006992"/>
    <m/>
    <m/>
    <m/>
    <m/>
    <m/>
    <m/>
    <n v="88.000000000005869"/>
    <n v="88.000000000005869"/>
    <n v="1.4915254237289131"/>
    <n v="-187.49999999999324"/>
    <m/>
    <m/>
  </r>
  <r>
    <s v="Long"/>
    <n v="1"/>
    <n v="1.679"/>
    <n v="1.6779999999999999"/>
    <d v="2014-04-09T03:06:53"/>
    <d v="2014-04-09T03:22:47"/>
    <m/>
    <m/>
    <x v="0"/>
    <x v="2"/>
    <x v="2"/>
    <d v="1899-12-30T03:00:00"/>
    <d v="1899-12-30T03:15:00"/>
    <n v="15"/>
    <n v="-62.500000000006992"/>
    <m/>
    <m/>
    <m/>
    <m/>
    <m/>
    <m/>
    <n v="78.000000000004746"/>
    <n v="78.000000000004746"/>
    <n v="1.3000000000000791"/>
    <n v="-250.00000000000023"/>
    <m/>
    <m/>
  </r>
  <r>
    <s v="Short"/>
    <n v="1"/>
    <n v="1.6765000000000001"/>
    <n v="1.6763999999999999"/>
    <d v="2014-04-11T04:09:51"/>
    <d v="2014-04-11T04:51:06"/>
    <m/>
    <m/>
    <x v="0"/>
    <x v="4"/>
    <x v="4"/>
    <d v="1899-12-30T04:00:00"/>
    <d v="1899-12-30T04:45:00"/>
    <n v="40"/>
    <n v="6.2500000000131894"/>
    <m/>
    <m/>
    <m/>
    <m/>
    <m/>
    <m/>
    <n v="79.00000000000685"/>
    <n v="79.00000000000685"/>
    <n v="1.295081967213227"/>
    <n v="6.2500000000131894"/>
    <m/>
    <m/>
  </r>
  <r>
    <s v="Short"/>
    <n v="1"/>
    <n v="1.6765000000000001"/>
    <n v="1.6763999999999999"/>
    <d v="2014-04-11T04:09:51"/>
    <d v="2014-04-11T04:51:06"/>
    <m/>
    <m/>
    <x v="0"/>
    <x v="4"/>
    <x v="4"/>
    <d v="1899-12-30T04:00:00"/>
    <d v="1899-12-30T04:45:00"/>
    <n v="40"/>
    <n v="6.2500000000131894"/>
    <m/>
    <m/>
    <m/>
    <m/>
    <m/>
    <m/>
    <n v="80.000000000008953"/>
    <n v="80.000000000008953"/>
    <n v="1.2903225806453056"/>
    <n v="12.500000000026379"/>
    <m/>
    <m/>
  </r>
  <r>
    <s v="Short"/>
    <n v="1"/>
    <n v="1.6754"/>
    <n v="1.6738999999999999"/>
    <d v="2014-04-11T05:13:46"/>
    <d v="2014-04-11T06:54:51"/>
    <m/>
    <m/>
    <x v="1"/>
    <x v="0"/>
    <x v="4"/>
    <d v="1899-12-30T05:00:00"/>
    <d v="1899-12-30T06:45:00"/>
    <n v="100"/>
    <n v="93.750000000003553"/>
    <m/>
    <m/>
    <m/>
    <m/>
    <m/>
    <m/>
    <n v="95.000000000009521"/>
    <n v="95.000000000009521"/>
    <n v="1.5079365079366591"/>
    <n v="106.25000000002993"/>
    <m/>
    <m/>
  </r>
  <r>
    <s v="Short"/>
    <n v="1"/>
    <n v="1.6754"/>
    <n v="1.6718"/>
    <d v="2014-04-11T05:13:46"/>
    <d v="2014-04-11T07:42:54"/>
    <m/>
    <m/>
    <x v="1"/>
    <x v="1"/>
    <x v="4"/>
    <d v="1899-12-30T05:00:00"/>
    <d v="1899-12-30T07:30:00"/>
    <n v="145"/>
    <n v="225.00000000000298"/>
    <m/>
    <m/>
    <m/>
    <m/>
    <m/>
    <m/>
    <n v="131.00000000001"/>
    <n v="131.00000000001"/>
    <n v="2.0468750000001563"/>
    <n v="331.25000000003291"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  <r>
    <m/>
    <m/>
    <m/>
    <m/>
    <m/>
    <m/>
    <m/>
    <m/>
    <x v="4"/>
    <x v="5"/>
    <x v="5"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rowHeaderCaption="P/L by length of trade">
  <location ref="E13:H26" firstHeaderRow="0" firstDataRow="1" firstDataCol="1"/>
  <pivotFields count="2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axis="axisRow" showAll="0">
      <items count="20">
        <item x="3"/>
        <item x="10"/>
        <item x="5"/>
        <item x="2"/>
        <item x="8"/>
        <item x="13"/>
        <item x="6"/>
        <item x="15"/>
        <item x="14"/>
        <item x="11"/>
        <item x="7"/>
        <item x="0"/>
        <item h="1" x="18"/>
        <item h="1" x="1"/>
        <item h="1" x="4"/>
        <item h="1" x="9"/>
        <item h="1" x="12"/>
        <item h="1" x="16"/>
        <item h="1" x="17"/>
        <item t="default"/>
      </items>
    </pivotField>
    <pivotField dataField="1" showAll="0" defaultSubtota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 defaultSubtotal="0"/>
    <pivotField showAll="0"/>
    <pivotField showAll="0"/>
    <pivotField showAll="0"/>
  </pivotFields>
  <rowFields count="1">
    <field x="1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Profit ($)" fld="15" subtotal="average" baseField="14" baseItem="0" numFmtId="2"/>
    <dataField name="Sum of Profit ($)" fld="15" baseField="14" baseItem="0" numFmtId="2"/>
    <dataField name="Count of Profit ($)" fld="15" subtotal="count" baseField="0" baseItem="0"/>
  </dataFields>
  <formats count="9">
    <format dxfId="8">
      <pivotArea type="all" dataOnly="0" outline="0" fieldPosition="0"/>
    </format>
    <format dxfId="7">
      <pivotArea outline="0" fieldPosition="0">
        <references count="1">
          <reference field="4294967294" count="1">
            <x v="0"/>
          </reference>
        </references>
      </pivotArea>
    </format>
    <format dxfId="6">
      <pivotArea outline="0" fieldPosition="0">
        <references count="1">
          <reference field="4294967294" count="1"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14" type="button" dataOnly="0" labelOnly="1" outline="0" axis="axisRow" fieldPosition="0"/>
    </format>
    <format dxfId="2">
      <pivotArea dataOnly="0" labelOnly="1" fieldPosition="0">
        <references count="1">
          <reference field="14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Dark9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rowHeaderCaption="P/L by entry time">
  <location ref="E1:H11" firstHeaderRow="0" firstDataRow="1" firstDataCol="1"/>
  <pivotFields count="2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axis="axisRow" showAll="0">
      <items count="14">
        <item x="7"/>
        <item x="4"/>
        <item x="9"/>
        <item x="2"/>
        <item x="5"/>
        <item x="11"/>
        <item x="1"/>
        <item x="6"/>
        <item x="10"/>
        <item h="1" x="12"/>
        <item h="1" x="0"/>
        <item h="1" x="3"/>
        <item h="1" x="8"/>
        <item t="default"/>
      </items>
    </pivotField>
    <pivotField showAll="0"/>
    <pivotField showAll="0"/>
    <pivotField dataField="1" showAll="0" defaultSubtota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 defaultSubtotal="0"/>
    <pivotField showAll="0"/>
    <pivotField showAll="0"/>
    <pivotField showAll="0"/>
  </pivotFields>
  <rowFields count="1">
    <field x="1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Profit ($)" fld="15" subtotal="average" baseField="12" baseItem="0" numFmtId="2"/>
    <dataField name="Sum of Profit ($)" fld="15" baseField="12" baseItem="0" numFmtId="2"/>
    <dataField name="Count of Profit ($)" fld="15" subtotal="count" baseField="0" baseItem="0"/>
  </dataFields>
  <formats count="9">
    <format dxfId="17">
      <pivotArea type="all" dataOnly="0" outline="0" fieldPosition="0"/>
    </format>
    <format dxfId="16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12" type="button" dataOnly="0" labelOnly="1" outline="0" axis="axisRow" fieldPosition="0"/>
    </format>
    <format dxfId="11">
      <pivotArea dataOnly="0" labelOnly="1" fieldPosition="0">
        <references count="1">
          <reference field="12" count="0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Dark14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rowHeaderCaption="P/L by day of week">
  <location ref="E28:H34" firstHeaderRow="0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0"/>
        <item x="1"/>
        <item x="2"/>
        <item x="3"/>
        <item x="4"/>
        <item h="1" x="5"/>
        <item t="default"/>
      </items>
    </pivotField>
    <pivotField showAll="0"/>
    <pivotField showAll="0"/>
    <pivotField showAll="0"/>
    <pivotField dataField="1" showAll="0" defaultSubtota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 defaultSubtotal="0"/>
    <pivotField showAll="0"/>
    <pivotField showAll="0" defaultSubtotal="0"/>
    <pivotField showAll="0" defaultSubtotal="0"/>
  </pivotFields>
  <rowFields count="1">
    <field x="1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Profit ($)" fld="14" subtotal="average" baseField="10" baseItem="2" numFmtId="2"/>
    <dataField name="Sum of Profit ($)" fld="14" baseField="10" baseItem="2" numFmtId="2"/>
    <dataField name="Count of Profit ($)" fld="14" subtotal="count" baseField="10" baseItem="0" numFmtId="1"/>
  </dataFields>
  <formats count="11">
    <format dxfId="28">
      <pivotArea type="all" dataOnly="0" outline="0" fieldPosition="0"/>
    </format>
    <format dxfId="27">
      <pivotArea type="all" dataOnly="0" outline="0" fieldPosition="0"/>
    </format>
    <format dxfId="26">
      <pivotArea outline="0" fieldPosition="0">
        <references count="1">
          <reference field="4294967294" count="1">
            <x v="0"/>
          </reference>
        </references>
      </pivotArea>
    </format>
    <format dxfId="25">
      <pivotArea outline="0" fieldPosition="0">
        <references count="1">
          <reference field="4294967294" count="1">
            <x v="1"/>
          </reference>
        </references>
      </pivotArea>
    </format>
    <format dxfId="24">
      <pivotArea outline="0" fieldPosition="0">
        <references count="1">
          <reference field="4294967294" count="1">
            <x v="2"/>
          </reference>
        </references>
      </pivotArea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10" type="button" dataOnly="0" labelOnly="1" outline="0" axis="axisRow" fieldPosition="0"/>
    </format>
    <format dxfId="20">
      <pivotArea dataOnly="0" labelOnly="1" fieldPosition="0">
        <references count="1">
          <reference field="10" count="0"/>
        </references>
      </pivotArea>
    </format>
    <format dxfId="19">
      <pivotArea dataOnly="0" labelOnly="1" grandRow="1" outline="0" fieldPosition="0"/>
    </format>
    <format dxfId="1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Dark10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1:C28" firstHeaderRow="0" firstDataRow="1" firstDataCol="1"/>
  <pivotFields count="28">
    <pivotField showAll="0"/>
    <pivotField showAll="0"/>
    <pivotField showAll="0"/>
    <pivotField showAll="0"/>
    <pivotField showAll="0"/>
    <pivotField axis="axisRow" showAll="0">
      <items count="36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27">
    <i>
      <x v="63"/>
    </i>
    <i>
      <x v="64"/>
    </i>
    <i>
      <x v="65"/>
    </i>
    <i>
      <x v="66"/>
    </i>
    <i>
      <x v="67"/>
    </i>
    <i>
      <x v="71"/>
    </i>
    <i>
      <x v="72"/>
    </i>
    <i>
      <x v="73"/>
    </i>
    <i>
      <x v="74"/>
    </i>
    <i>
      <x v="77"/>
    </i>
    <i>
      <x v="78"/>
    </i>
    <i>
      <x v="79"/>
    </i>
    <i>
      <x v="80"/>
    </i>
    <i>
      <x v="81"/>
    </i>
    <i>
      <x v="84"/>
    </i>
    <i>
      <x v="85"/>
    </i>
    <i>
      <x v="86"/>
    </i>
    <i>
      <x v="87"/>
    </i>
    <i>
      <x v="91"/>
    </i>
    <i>
      <x v="92"/>
    </i>
    <i>
      <x v="93"/>
    </i>
    <i>
      <x v="94"/>
    </i>
    <i>
      <x v="98"/>
    </i>
    <i>
      <x v="99"/>
    </i>
    <i>
      <x v="100"/>
    </i>
    <i>
      <x v="10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Profit ($)" fld="15" baseField="5" baseItem="0" numFmtId="2"/>
    <dataField name="P/L Bars" fld="15" baseField="5" baseItem="63" numFmtId="2"/>
  </dataFields>
  <formats count="13"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5" type="button" dataOnly="0" labelOnly="1" outline="0" axis="axisRow" fieldPosition="0"/>
    </format>
    <format dxfId="38">
      <pivotArea dataOnly="0" labelOnly="1" outline="0" axis="axisValues" fieldPosition="0"/>
    </format>
    <format dxfId="37">
      <pivotArea dataOnly="0" labelOnly="1" fieldPosition="0">
        <references count="1">
          <reference field="5" count="26">
            <x v="63"/>
            <x v="64"/>
            <x v="65"/>
            <x v="66"/>
            <x v="67"/>
            <x v="71"/>
            <x v="72"/>
            <x v="73"/>
            <x v="74"/>
            <x v="77"/>
            <x v="78"/>
            <x v="79"/>
            <x v="80"/>
            <x v="81"/>
            <x v="84"/>
            <x v="85"/>
            <x v="86"/>
            <x v="87"/>
            <x v="91"/>
            <x v="92"/>
            <x v="93"/>
            <x v="94"/>
            <x v="98"/>
            <x v="99"/>
            <x v="100"/>
            <x v="102"/>
          </reference>
        </references>
      </pivotArea>
    </format>
    <format dxfId="36">
      <pivotArea dataOnly="0" labelOnly="1" grandRow="1" outline="0" fieldPosition="0"/>
    </format>
    <format dxfId="35">
      <pivotArea outline="0" fieldPosition="0">
        <references count="1">
          <reference field="4294967294" count="1">
            <x v="1"/>
          </reference>
        </references>
      </pivotArea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field="5" type="button" dataOnly="0" labelOnly="1" outline="0" axis="axisRow" fieldPosition="0"/>
    </format>
    <format dxfId="31">
      <pivotArea dataOnly="0" labelOnly="1" fieldPosition="0">
        <references count="1">
          <reference field="5" count="26">
            <x v="63"/>
            <x v="64"/>
            <x v="65"/>
            <x v="66"/>
            <x v="67"/>
            <x v="71"/>
            <x v="72"/>
            <x v="73"/>
            <x v="74"/>
            <x v="77"/>
            <x v="78"/>
            <x v="79"/>
            <x v="80"/>
            <x v="81"/>
            <x v="84"/>
            <x v="85"/>
            <x v="86"/>
            <x v="87"/>
            <x v="91"/>
            <x v="92"/>
            <x v="93"/>
            <x v="94"/>
            <x v="98"/>
            <x v="99"/>
            <x v="100"/>
            <x v="102"/>
          </reference>
        </references>
      </pivotArea>
    </format>
    <format dxfId="30">
      <pivotArea dataOnly="0" labelOnly="1" grandRow="1" outline="0" fieldPosition="0"/>
    </format>
    <format dxfId="2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5" count="26">
              <x v="63"/>
              <x v="64"/>
              <x v="65"/>
              <x v="66"/>
              <x v="67"/>
              <x v="71"/>
              <x v="72"/>
              <x v="73"/>
              <x v="74"/>
              <x v="77"/>
              <x v="78"/>
              <x v="79"/>
              <x v="80"/>
              <x v="81"/>
              <x v="84"/>
              <x v="85"/>
              <x v="86"/>
              <x v="87"/>
              <x v="91"/>
              <x v="92"/>
              <x v="93"/>
              <x v="94"/>
              <x v="98"/>
              <x v="99"/>
              <x v="100"/>
              <x v="102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8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rowHeaderCaption="P/L by exit type">
  <location ref="X8:AA14" firstHeaderRow="0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4"/>
        <item x="2"/>
        <item x="0"/>
        <item x="1"/>
        <item h="1" x="5"/>
        <item x="3"/>
        <item t="default"/>
      </items>
    </pivotField>
    <pivotField showAll="0" defaultSubtotal="0"/>
    <pivotField showAll="0"/>
    <pivotField showAll="0"/>
    <pivotField showAll="0"/>
    <pivotField dataField="1" showAll="0" defaultSubtota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 defaultSubtotal="0"/>
    <pivotField showAll="0"/>
    <pivotField showAll="0"/>
    <pivotField showAll="0"/>
  </pivotFields>
  <rowFields count="1">
    <field x="9"/>
  </rowFields>
  <rowItems count="6">
    <i>
      <x/>
    </i>
    <i>
      <x v="1"/>
    </i>
    <i>
      <x v="2"/>
    </i>
    <i>
      <x v="3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Profit ($)" fld="14" subtotal="average" baseField="9" baseItem="2" numFmtId="2"/>
    <dataField name="Sum of Profit ($)" fld="14" baseField="9" baseItem="2" numFmtId="2"/>
    <dataField name="Count of Profit ($)" fld="14" subtotal="count" baseField="0" baseItem="0"/>
  </dataFields>
  <formats count="9">
    <format dxfId="50">
      <pivotArea type="all" dataOnly="0" outline="0" fieldPosition="0"/>
    </format>
    <format dxfId="49">
      <pivotArea outline="0" fieldPosition="0">
        <references count="1">
          <reference field="4294967294" count="1">
            <x v="0"/>
          </reference>
        </references>
      </pivotArea>
    </format>
    <format dxfId="48">
      <pivotArea outline="0" fieldPosition="0">
        <references count="1">
          <reference field="4294967294" count="1">
            <x v="1"/>
          </reference>
        </references>
      </pivotArea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field="9" type="button" dataOnly="0" labelOnly="1" outline="0" axis="axisRow" fieldPosition="0"/>
    </format>
    <format dxfId="44">
      <pivotArea dataOnly="0" labelOnly="1" fieldPosition="0">
        <references count="1">
          <reference field="9" count="0"/>
        </references>
      </pivotArea>
    </format>
    <format dxfId="43">
      <pivotArea dataOnly="0" labelOnly="1" grandRow="1" outline="0" fieldPosition="0"/>
    </format>
    <format dxfId="4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Dark11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7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rowHeaderCaption="P/L by trade type">
  <location ref="X1:AA6" firstHeaderRow="0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6">
        <item h="1" x="4"/>
        <item x="1"/>
        <item x="0"/>
        <item x="2"/>
        <item x="3"/>
        <item t="default"/>
      </items>
    </pivotField>
    <pivotField showAll="0"/>
    <pivotField showAll="0" defaultSubtotal="0"/>
    <pivotField showAll="0"/>
    <pivotField showAll="0"/>
    <pivotField showAll="0"/>
    <pivotField dataField="1" showAll="0" defaultSubtota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 defaultSubtotal="0"/>
    <pivotField showAll="0"/>
    <pivotField showAll="0"/>
    <pivotField showAll="0"/>
  </pivotFields>
  <rowFields count="1">
    <field x="8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Profit ($)" fld="14" subtotal="average" baseField="8" baseItem="2" numFmtId="2"/>
    <dataField name="Sum of Profit ($)" fld="14" baseField="8" baseItem="2" numFmtId="2"/>
    <dataField name="Count of Profit ($)" fld="14" subtotal="count" baseField="0" baseItem="0"/>
  </dataFields>
  <formats count="12">
    <format dxfId="62">
      <pivotArea type="all" dataOnly="0" outline="0" fieldPosition="0"/>
    </format>
    <format dxfId="61">
      <pivotArea outline="0" fieldPosition="0">
        <references count="1">
          <reference field="4294967294" count="1">
            <x v="0"/>
          </reference>
        </references>
      </pivotArea>
    </format>
    <format dxfId="60">
      <pivotArea outline="0" fieldPosition="0">
        <references count="1">
          <reference field="4294967294" count="1">
            <x v="1"/>
          </reference>
        </references>
      </pivotArea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field="8" type="button" dataOnly="0" labelOnly="1" outline="0" axis="axisRow" fieldPosition="0"/>
    </format>
    <format dxfId="56">
      <pivotArea dataOnly="0" labelOnly="1" fieldPosition="0">
        <references count="1">
          <reference field="8" count="0"/>
        </references>
      </pivotArea>
    </format>
    <format dxfId="55">
      <pivotArea dataOnly="0" labelOnly="1" grandRow="1" outline="0" fieldPosition="0"/>
    </format>
    <format dxfId="5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3">
      <pivotArea dataOnly="0" labelOnly="1" fieldPosition="0">
        <references count="1">
          <reference field="8" count="0"/>
        </references>
      </pivotArea>
    </format>
    <format dxfId="52">
      <pivotArea dataOnly="0" labelOnly="1" grandRow="1" outline="0" fieldPosition="0"/>
    </format>
    <format dxfId="51">
      <pivotArea dataOnly="0" labelOnly="1" grandRow="1" outline="0" fieldPosition="0"/>
    </format>
  </formats>
  <pivotTableStyleInfo name="PivotStyleDark1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outlinePr summaryBelow="0"/>
  </sheetPr>
  <dimension ref="A1:AB100"/>
  <sheetViews>
    <sheetView tabSelected="1" zoomScale="140" zoomScaleNormal="140" workbookViewId="0">
      <pane ySplit="2" topLeftCell="A48" activePane="bottomLeft" state="frozen"/>
      <selection pane="bottomLeft" activeCell="D63" sqref="D63"/>
    </sheetView>
  </sheetViews>
  <sheetFormatPr defaultRowHeight="12.75" customHeight="1" x14ac:dyDescent="0.2"/>
  <cols>
    <col min="1" max="1" width="13.42578125" style="94" bestFit="1" customWidth="1"/>
    <col min="2" max="2" width="11.140625" style="50" bestFit="1" customWidth="1"/>
    <col min="3" max="3" width="7.85546875" style="50" customWidth="1"/>
    <col min="4" max="5" width="9.28515625" style="51" customWidth="1"/>
    <col min="6" max="7" width="15" style="50" customWidth="1"/>
    <col min="8" max="8" width="9.7109375" style="50" bestFit="1" customWidth="1"/>
    <col min="9" max="9" width="9.7109375" style="103" bestFit="1" customWidth="1"/>
    <col min="10" max="10" width="12.140625" style="54" customWidth="1"/>
    <col min="11" max="11" width="14.7109375" style="94" bestFit="1" customWidth="1"/>
    <col min="12" max="12" width="11" style="23" customWidth="1"/>
    <col min="13" max="14" width="10.7109375" style="24" customWidth="1"/>
    <col min="15" max="15" width="13.140625" style="25" customWidth="1"/>
    <col min="16" max="16" width="9.85546875" style="10" customWidth="1"/>
    <col min="17" max="17" width="8.5703125" style="30" hidden="1" customWidth="1"/>
    <col min="18" max="18" width="9" style="9" hidden="1" customWidth="1"/>
    <col min="19" max="19" width="8.85546875" style="10" hidden="1" customWidth="1"/>
    <col min="20" max="21" width="8.7109375" style="10" hidden="1" customWidth="1"/>
    <col min="22" max="22" width="4.140625" style="9" hidden="1" customWidth="1"/>
    <col min="23" max="23" width="10.140625" style="9" customWidth="1"/>
    <col min="24" max="24" width="15.140625" style="9" customWidth="1"/>
    <col min="25" max="25" width="15.42578125" style="10" bestFit="1" customWidth="1"/>
    <col min="26" max="26" width="24.42578125" style="120" customWidth="1"/>
    <col min="27" max="27" width="9.42578125" style="59" customWidth="1"/>
    <col min="28" max="28" width="41.140625" style="54" bestFit="1" customWidth="1"/>
    <col min="29" max="16384" width="9.140625" style="7"/>
  </cols>
  <sheetData>
    <row r="1" spans="1:28" s="13" customFormat="1" ht="12.75" customHeight="1" x14ac:dyDescent="0.2">
      <c r="A1" s="90" t="s">
        <v>62</v>
      </c>
      <c r="B1" s="131" t="s">
        <v>63</v>
      </c>
      <c r="C1" s="131"/>
      <c r="D1" s="131"/>
      <c r="E1" s="131"/>
      <c r="F1" s="131"/>
      <c r="G1" s="131"/>
      <c r="H1" s="131"/>
      <c r="I1" s="131"/>
      <c r="J1" s="131" t="s">
        <v>70</v>
      </c>
      <c r="K1" s="131"/>
      <c r="L1" s="132" t="s">
        <v>58</v>
      </c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3" t="s">
        <v>62</v>
      </c>
      <c r="AB1" s="133"/>
    </row>
    <row r="2" spans="1:28" s="36" customFormat="1" ht="38.25" x14ac:dyDescent="0.2">
      <c r="A2" s="91" t="s">
        <v>18</v>
      </c>
      <c r="B2" s="84" t="s">
        <v>13</v>
      </c>
      <c r="C2" s="31" t="s">
        <v>14</v>
      </c>
      <c r="D2" s="32" t="s">
        <v>5</v>
      </c>
      <c r="E2" s="32" t="s">
        <v>8</v>
      </c>
      <c r="F2" s="31" t="s">
        <v>6</v>
      </c>
      <c r="G2" s="31" t="s">
        <v>9</v>
      </c>
      <c r="H2" s="31" t="s">
        <v>11</v>
      </c>
      <c r="I2" s="99" t="s">
        <v>12</v>
      </c>
      <c r="J2" s="95" t="s">
        <v>4</v>
      </c>
      <c r="K2" s="91" t="s">
        <v>7</v>
      </c>
      <c r="L2" s="104" t="s">
        <v>37</v>
      </c>
      <c r="M2" s="33" t="s">
        <v>29</v>
      </c>
      <c r="N2" s="33" t="s">
        <v>30</v>
      </c>
      <c r="O2" s="34" t="s">
        <v>31</v>
      </c>
      <c r="P2" s="35" t="str">
        <f>"Profit" &amp;" ("&amp;Lookup!F2&amp;")"</f>
        <v>Profit ($)</v>
      </c>
      <c r="Q2" s="35" t="s">
        <v>2</v>
      </c>
      <c r="R2" s="31" t="s">
        <v>1</v>
      </c>
      <c r="S2" s="35" t="s">
        <v>11</v>
      </c>
      <c r="T2" s="35" t="s">
        <v>12</v>
      </c>
      <c r="U2" s="35" t="s">
        <v>3</v>
      </c>
      <c r="V2" s="31" t="s">
        <v>0</v>
      </c>
      <c r="W2" s="31" t="s">
        <v>22</v>
      </c>
      <c r="X2" s="31" t="s">
        <v>28</v>
      </c>
      <c r="Y2" s="35" t="s">
        <v>51</v>
      </c>
      <c r="Z2" s="117" t="s">
        <v>24</v>
      </c>
      <c r="AA2" s="110" t="s">
        <v>25</v>
      </c>
      <c r="AB2" s="52" t="s">
        <v>17</v>
      </c>
    </row>
    <row r="3" spans="1:28" s="8" customFormat="1" ht="12.75" customHeight="1" x14ac:dyDescent="0.2">
      <c r="A3" s="92">
        <v>1</v>
      </c>
      <c r="B3" s="85" t="s">
        <v>19</v>
      </c>
      <c r="C3" s="37">
        <v>1</v>
      </c>
      <c r="D3" s="38">
        <v>1.6705000000000001</v>
      </c>
      <c r="E3" s="38">
        <v>1.6693</v>
      </c>
      <c r="F3" s="39">
        <v>41701.125115740739</v>
      </c>
      <c r="G3" s="39">
        <v>41701.176226851851</v>
      </c>
      <c r="H3" s="39"/>
      <c r="I3" s="100"/>
      <c r="J3" s="96" t="s">
        <v>15</v>
      </c>
      <c r="K3" s="92" t="s">
        <v>16</v>
      </c>
      <c r="L3" s="105">
        <f t="shared" ref="L3:L8" si="0">WEEKDAY(F3)</f>
        <v>2</v>
      </c>
      <c r="M3" s="19">
        <f>TIME(HOUR(F3),FLOOR(MINUTE(F3),15),0)</f>
        <v>0.125</v>
      </c>
      <c r="N3" s="19">
        <f>TIME(HOUR(G3),FLOOR(MINUTE(G3),15),0)</f>
        <v>0.16666666666666666</v>
      </c>
      <c r="O3" s="20">
        <f>(FLOOR((SECOND(G3-F3)+((MINUTE(G3-F3))*60)+((HOUR(G3-F3))*3600)),300))/60</f>
        <v>70</v>
      </c>
      <c r="P3" s="3">
        <f>IF(B3="Short",((D3-E3)/Lookup!$H$2)*C3*Lookup!$G$2,((E3-D3)/Lookup!$H$2)*C3*Lookup!$G$2)</f>
        <v>75.000000000005613</v>
      </c>
      <c r="Q3" s="3">
        <v>0</v>
      </c>
      <c r="R3" s="4">
        <v>0</v>
      </c>
      <c r="S3" s="3">
        <v>0</v>
      </c>
      <c r="T3" s="3">
        <v>0</v>
      </c>
      <c r="U3" s="3">
        <v>0</v>
      </c>
      <c r="V3" s="2">
        <v>0</v>
      </c>
      <c r="W3" s="2">
        <f>P3/Lookup!$G$2</f>
        <v>12.000000000000899</v>
      </c>
      <c r="X3" s="2">
        <f>W3</f>
        <v>12.000000000000899</v>
      </c>
      <c r="Y3" s="5">
        <f>W3/(SUM($C$3:C3))</f>
        <v>12.000000000000899</v>
      </c>
      <c r="Z3" s="118">
        <f>P3</f>
        <v>75.000000000005613</v>
      </c>
      <c r="AA3" s="111"/>
      <c r="AB3" s="55" t="s">
        <v>53</v>
      </c>
    </row>
    <row r="4" spans="1:28" s="8" customFormat="1" ht="12.75" customHeight="1" x14ac:dyDescent="0.2">
      <c r="A4" s="93">
        <v>1</v>
      </c>
      <c r="B4" s="86" t="s">
        <v>19</v>
      </c>
      <c r="C4" s="40">
        <v>1</v>
      </c>
      <c r="D4" s="38">
        <v>1.6705000000000001</v>
      </c>
      <c r="E4" s="41">
        <v>1.6700999999999999</v>
      </c>
      <c r="F4" s="39">
        <v>41701.125115740739</v>
      </c>
      <c r="G4" s="39">
        <v>41701.186145833337</v>
      </c>
      <c r="H4" s="39"/>
      <c r="I4" s="100"/>
      <c r="J4" s="97" t="s">
        <v>15</v>
      </c>
      <c r="K4" s="93" t="s">
        <v>21</v>
      </c>
      <c r="L4" s="105">
        <f t="shared" si="0"/>
        <v>2</v>
      </c>
      <c r="M4" s="19">
        <f t="shared" ref="M4:M12" si="1">TIME(HOUR(F4),FLOOR(MINUTE(F4),15),0)</f>
        <v>0.125</v>
      </c>
      <c r="N4" s="19">
        <f t="shared" ref="N4:N12" si="2">TIME(HOUR(G4),FLOOR(MINUTE(G4),15),0)</f>
        <v>0.17708333333333334</v>
      </c>
      <c r="O4" s="20">
        <f t="shared" ref="O4:O12" si="3">(FLOOR((SECOND(G4-F4)+((MINUTE(G4-F4))*60)+((HOUR(G4-F4))*3600)),300))/60</f>
        <v>85</v>
      </c>
      <c r="P4" s="3">
        <f>IF(B4="Short",((D4-E4)/Lookup!$H$2)*C4*Lookup!$G$2,((E4-D4)/Lookup!$H$2)*C4*Lookup!$G$2)</f>
        <v>25.000000000011124</v>
      </c>
      <c r="Q4" s="26"/>
      <c r="R4" s="27"/>
      <c r="S4" s="26"/>
      <c r="T4" s="26"/>
      <c r="U4" s="26"/>
      <c r="V4" s="6"/>
      <c r="W4" s="2">
        <f>P4/Lookup!$G$2+W3</f>
        <v>16.000000000002679</v>
      </c>
      <c r="X4" s="2">
        <f>W4</f>
        <v>16.000000000002679</v>
      </c>
      <c r="Y4" s="5">
        <f>W4/(SUM($C$3:C4))</f>
        <v>8.0000000000013394</v>
      </c>
      <c r="Z4" s="119">
        <f>IF(P4&lt;=0,IF(P3&lt;=0,P4+Z3,P4),IF(P3&gt;0,P4+Z3,P4))</f>
        <v>100.00000000001674</v>
      </c>
      <c r="AA4" s="112"/>
      <c r="AB4" s="56" t="s">
        <v>53</v>
      </c>
    </row>
    <row r="5" spans="1:28" s="8" customFormat="1" ht="12.75" customHeight="1" x14ac:dyDescent="0.2">
      <c r="A5" s="93">
        <v>2</v>
      </c>
      <c r="B5" s="86" t="s">
        <v>19</v>
      </c>
      <c r="C5" s="40">
        <v>1</v>
      </c>
      <c r="D5" s="41">
        <v>1.6657999999999999</v>
      </c>
      <c r="E5" s="41">
        <v>1.6668000000000001</v>
      </c>
      <c r="F5" s="39">
        <v>41702.210902777777</v>
      </c>
      <c r="G5" s="39">
        <v>41702.223564814813</v>
      </c>
      <c r="H5" s="39"/>
      <c r="I5" s="100"/>
      <c r="J5" s="97" t="s">
        <v>20</v>
      </c>
      <c r="K5" s="93" t="s">
        <v>23</v>
      </c>
      <c r="L5" s="105">
        <f t="shared" si="0"/>
        <v>3</v>
      </c>
      <c r="M5" s="19">
        <f t="shared" si="1"/>
        <v>0.20833333333333334</v>
      </c>
      <c r="N5" s="19">
        <f t="shared" si="2"/>
        <v>0.21875</v>
      </c>
      <c r="O5" s="20">
        <f t="shared" si="3"/>
        <v>15</v>
      </c>
      <c r="P5" s="3">
        <f>IF(B5="Short",((D5-E5)/Lookup!$H$2)*C5*Lookup!$G$2,((E5-D5)/Lookup!$H$2)*C5*Lookup!$G$2)</f>
        <v>-62.500000000006992</v>
      </c>
      <c r="Q5" s="26"/>
      <c r="R5" s="27"/>
      <c r="S5" s="26"/>
      <c r="T5" s="26"/>
      <c r="U5" s="26"/>
      <c r="V5" s="6"/>
      <c r="W5" s="2">
        <f>P5/Lookup!$G$2+W4</f>
        <v>6.0000000000015596</v>
      </c>
      <c r="X5" s="2">
        <f t="shared" ref="X5:X38" si="4">W5</f>
        <v>6.0000000000015596</v>
      </c>
      <c r="Y5" s="5">
        <f>W5/(SUM($C$3:C5))</f>
        <v>2.00000000000052</v>
      </c>
      <c r="Z5" s="119">
        <f>IF(P5&lt;=0,IF(P4&lt;=0,P5+Z4,P5),IF(P4&gt;0,P5+Z4,P5))</f>
        <v>-62.500000000006992</v>
      </c>
      <c r="AA5" s="112"/>
      <c r="AB5" s="56"/>
    </row>
    <row r="6" spans="1:28" s="8" customFormat="1" ht="12.75" customHeight="1" x14ac:dyDescent="0.2">
      <c r="A6" s="93">
        <v>2</v>
      </c>
      <c r="B6" s="85" t="s">
        <v>19</v>
      </c>
      <c r="C6" s="37">
        <v>1</v>
      </c>
      <c r="D6" s="41">
        <v>1.6657999999999999</v>
      </c>
      <c r="E6" s="41">
        <v>1.6668000000000001</v>
      </c>
      <c r="F6" s="39">
        <v>41702.210902777777</v>
      </c>
      <c r="G6" s="39">
        <v>41702.223564814813</v>
      </c>
      <c r="H6" s="39"/>
      <c r="I6" s="100"/>
      <c r="J6" s="97" t="s">
        <v>20</v>
      </c>
      <c r="K6" s="92" t="s">
        <v>23</v>
      </c>
      <c r="L6" s="105">
        <f t="shared" si="0"/>
        <v>3</v>
      </c>
      <c r="M6" s="19">
        <f t="shared" si="1"/>
        <v>0.20833333333333334</v>
      </c>
      <c r="N6" s="19">
        <f t="shared" si="2"/>
        <v>0.21875</v>
      </c>
      <c r="O6" s="20">
        <f t="shared" si="3"/>
        <v>15</v>
      </c>
      <c r="P6" s="3">
        <f>IF(B6="Short",((D6-E6)/Lookup!$H$2)*C6*Lookup!$G$2,((E6-D6)/Lookup!$H$2)*C6*Lookup!$G$2)</f>
        <v>-62.500000000006992</v>
      </c>
      <c r="Q6" s="26"/>
      <c r="R6" s="27"/>
      <c r="S6" s="26"/>
      <c r="T6" s="26"/>
      <c r="U6" s="26"/>
      <c r="V6" s="6"/>
      <c r="W6" s="2">
        <f>P6/Lookup!$G$2+W5</f>
        <v>-3.9999999999995595</v>
      </c>
      <c r="X6" s="2">
        <f t="shared" si="4"/>
        <v>-3.9999999999995595</v>
      </c>
      <c r="Y6" s="5">
        <f>W6/(SUM($C$3:C6))</f>
        <v>-0.99999999999988987</v>
      </c>
      <c r="Z6" s="119">
        <f>IF(P6&lt;=0,IF(P5&lt;=0,P6+Z5,P6),IF(P5&gt;0,P6+Z5,P6))</f>
        <v>-125.00000000001398</v>
      </c>
      <c r="AA6" s="111"/>
      <c r="AB6" s="55"/>
    </row>
    <row r="7" spans="1:28" s="8" customFormat="1" ht="12.75" customHeight="1" x14ac:dyDescent="0.2">
      <c r="A7" s="92">
        <v>3</v>
      </c>
      <c r="B7" s="85" t="s">
        <v>10</v>
      </c>
      <c r="C7" s="37">
        <v>1</v>
      </c>
      <c r="D7" s="38">
        <v>1.6665000000000001</v>
      </c>
      <c r="E7" s="38">
        <v>1.667</v>
      </c>
      <c r="F7" s="39">
        <v>41703.131944444445</v>
      </c>
      <c r="G7" s="39">
        <v>41703.131944444445</v>
      </c>
      <c r="H7" s="39"/>
      <c r="I7" s="100"/>
      <c r="J7" s="97" t="s">
        <v>27</v>
      </c>
      <c r="K7" s="92" t="s">
        <v>68</v>
      </c>
      <c r="L7" s="105">
        <f t="shared" si="0"/>
        <v>4</v>
      </c>
      <c r="M7" s="19">
        <f t="shared" si="1"/>
        <v>0.125</v>
      </c>
      <c r="N7" s="19">
        <f t="shared" si="2"/>
        <v>0.125</v>
      </c>
      <c r="O7" s="20">
        <f t="shared" si="3"/>
        <v>0</v>
      </c>
      <c r="P7" s="3">
        <f>IF(B7="Short",((D7-E7)/Lookup!$H$2)*C7*Lookup!$G$2,((E7-D7)/Lookup!$H$2)*C7*Lookup!$G$2)</f>
        <v>31.249999999996557</v>
      </c>
      <c r="Q7" s="26"/>
      <c r="R7" s="27"/>
      <c r="S7" s="26"/>
      <c r="T7" s="26"/>
      <c r="U7" s="26"/>
      <c r="V7" s="6"/>
      <c r="W7" s="2">
        <f>P7/Lookup!$G$2+W6</f>
        <v>0.99999999999988987</v>
      </c>
      <c r="X7" s="2">
        <f t="shared" si="4"/>
        <v>0.99999999999988987</v>
      </c>
      <c r="Y7" s="5">
        <f>W7/(SUM($C$3:C7))</f>
        <v>0.19999999999997797</v>
      </c>
      <c r="Z7" s="119">
        <f>IF(P7&lt;=0,IF(P6&lt;=0,P7+Z6,P7),IF(P6&gt;0,P7+Z6,P7))</f>
        <v>31.249999999996557</v>
      </c>
      <c r="AA7" s="111"/>
      <c r="AB7" s="55"/>
    </row>
    <row r="8" spans="1:28" s="8" customFormat="1" ht="12.75" customHeight="1" x14ac:dyDescent="0.2">
      <c r="A8" s="92">
        <v>3</v>
      </c>
      <c r="B8" s="85" t="s">
        <v>10</v>
      </c>
      <c r="C8" s="37">
        <v>1</v>
      </c>
      <c r="D8" s="38">
        <v>1.6665000000000001</v>
      </c>
      <c r="E8" s="38">
        <v>1.667</v>
      </c>
      <c r="F8" s="39">
        <v>41703.131944444445</v>
      </c>
      <c r="G8" s="39">
        <v>41703.178946759261</v>
      </c>
      <c r="H8" s="39"/>
      <c r="I8" s="100"/>
      <c r="J8" s="97" t="s">
        <v>27</v>
      </c>
      <c r="K8" s="92" t="s">
        <v>68</v>
      </c>
      <c r="L8" s="105">
        <f t="shared" si="0"/>
        <v>4</v>
      </c>
      <c r="M8" s="19">
        <f t="shared" si="1"/>
        <v>0.125</v>
      </c>
      <c r="N8" s="19">
        <f t="shared" si="2"/>
        <v>0.17708333333333334</v>
      </c>
      <c r="O8" s="20">
        <f t="shared" si="3"/>
        <v>65</v>
      </c>
      <c r="P8" s="3">
        <f>IF(B8="Short",((D8-E8)/Lookup!$H$2)*C8*Lookup!$G$2,((E8-D8)/Lookup!$H$2)*C8*Lookup!$G$2)</f>
        <v>31.249999999996557</v>
      </c>
      <c r="Q8" s="26"/>
      <c r="R8" s="27"/>
      <c r="S8" s="26"/>
      <c r="T8" s="26"/>
      <c r="U8" s="26"/>
      <c r="V8" s="6"/>
      <c r="W8" s="2">
        <f>P8/Lookup!$G$2+W7</f>
        <v>5.9999999999993392</v>
      </c>
      <c r="X8" s="2">
        <f t="shared" si="4"/>
        <v>5.9999999999993392</v>
      </c>
      <c r="Y8" s="5">
        <f>W8/(SUM($C$3:C8))</f>
        <v>0.99999999999988987</v>
      </c>
      <c r="Z8" s="119">
        <f>IF(P8&lt;=0,IF(P7&lt;=0,P8+Z7,P8),IF(P7&gt;0,P8+Z7,P8))</f>
        <v>62.499999999993115</v>
      </c>
      <c r="AA8" s="111"/>
      <c r="AB8" s="55"/>
    </row>
    <row r="9" spans="1:28" s="8" customFormat="1" ht="12.75" customHeight="1" x14ac:dyDescent="0.2">
      <c r="A9" s="92">
        <v>4</v>
      </c>
      <c r="B9" s="86" t="s">
        <v>19</v>
      </c>
      <c r="C9" s="40">
        <v>1</v>
      </c>
      <c r="D9" s="41">
        <v>1.6692</v>
      </c>
      <c r="E9" s="41">
        <v>1.6702999999999999</v>
      </c>
      <c r="F9" s="39">
        <v>41704.175312500003</v>
      </c>
      <c r="G9" s="39">
        <v>41704.184490740743</v>
      </c>
      <c r="H9" s="42"/>
      <c r="I9" s="101"/>
      <c r="J9" s="97" t="s">
        <v>15</v>
      </c>
      <c r="K9" s="93" t="s">
        <v>23</v>
      </c>
      <c r="L9" s="105">
        <f t="shared" ref="L9:L10" si="5">WEEKDAY(F9)</f>
        <v>5</v>
      </c>
      <c r="M9" s="19">
        <f t="shared" si="1"/>
        <v>0.16666666666666666</v>
      </c>
      <c r="N9" s="19">
        <f t="shared" si="2"/>
        <v>0.17708333333333334</v>
      </c>
      <c r="O9" s="20">
        <f t="shared" si="3"/>
        <v>10</v>
      </c>
      <c r="P9" s="3">
        <f>IF(B9="Short",((D9-E9)/Lookup!$H$2)*C9*Lookup!$G$2,((E9-D9)/Lookup!$H$2)*C9*Lookup!$G$2)</f>
        <v>-68.749999999992426</v>
      </c>
      <c r="Q9" s="26"/>
      <c r="R9" s="27"/>
      <c r="S9" s="26"/>
      <c r="T9" s="26"/>
      <c r="U9" s="26"/>
      <c r="V9" s="6"/>
      <c r="W9" s="2">
        <f>P9/Lookup!$G$2+W8</f>
        <v>-4.9999999999994493</v>
      </c>
      <c r="X9" s="2">
        <f t="shared" si="4"/>
        <v>-4.9999999999994493</v>
      </c>
      <c r="Y9" s="5">
        <f>W9/(SUM($C$3:C9))</f>
        <v>-0.71428571428563559</v>
      </c>
      <c r="Z9" s="119">
        <f t="shared" ref="Z9:Z10" si="6">IF(P9&lt;=0,IF(P8&lt;=0,P9+Z8,P9),IF(P8&gt;0,P9+Z8,P9))</f>
        <v>-68.749999999992426</v>
      </c>
      <c r="AA9" s="112"/>
      <c r="AB9" s="56"/>
    </row>
    <row r="10" spans="1:28" s="8" customFormat="1" ht="12.75" customHeight="1" x14ac:dyDescent="0.2">
      <c r="A10" s="92">
        <v>4</v>
      </c>
      <c r="B10" s="85" t="s">
        <v>19</v>
      </c>
      <c r="C10" s="37">
        <v>1</v>
      </c>
      <c r="D10" s="41">
        <v>1.6692</v>
      </c>
      <c r="E10" s="41">
        <v>1.6702999999999999</v>
      </c>
      <c r="F10" s="39">
        <v>41704.175312500003</v>
      </c>
      <c r="G10" s="39">
        <v>41704.184490740743</v>
      </c>
      <c r="H10" s="39"/>
      <c r="I10" s="100"/>
      <c r="J10" s="96" t="s">
        <v>15</v>
      </c>
      <c r="K10" s="92" t="s">
        <v>23</v>
      </c>
      <c r="L10" s="105">
        <f t="shared" si="5"/>
        <v>5</v>
      </c>
      <c r="M10" s="19">
        <f t="shared" si="1"/>
        <v>0.16666666666666666</v>
      </c>
      <c r="N10" s="19">
        <f t="shared" si="2"/>
        <v>0.17708333333333334</v>
      </c>
      <c r="O10" s="20">
        <f t="shared" si="3"/>
        <v>10</v>
      </c>
      <c r="P10" s="3">
        <f>IF(B10="Short",((D10-E10)/Lookup!$H$2)*C10*Lookup!$G$2,((E10-D10)/Lookup!$H$2)*C10*Lookup!$G$2)</f>
        <v>-68.749999999992426</v>
      </c>
      <c r="Q10" s="26"/>
      <c r="R10" s="27"/>
      <c r="S10" s="26"/>
      <c r="T10" s="26"/>
      <c r="U10" s="26"/>
      <c r="V10" s="6"/>
      <c r="W10" s="2">
        <f>P10/Lookup!$G$2+W9</f>
        <v>-15.999999999998238</v>
      </c>
      <c r="X10" s="2">
        <f t="shared" si="4"/>
        <v>-15.999999999998238</v>
      </c>
      <c r="Y10" s="5">
        <f>W10/(SUM($C$3:C10))</f>
        <v>-1.9999999999997797</v>
      </c>
      <c r="Z10" s="119">
        <f t="shared" si="6"/>
        <v>-137.49999999998485</v>
      </c>
      <c r="AA10" s="111"/>
      <c r="AB10" s="55"/>
    </row>
    <row r="11" spans="1:28" s="8" customFormat="1" ht="12.75" customHeight="1" x14ac:dyDescent="0.2">
      <c r="A11" s="92">
        <v>5</v>
      </c>
      <c r="B11" s="87" t="s">
        <v>10</v>
      </c>
      <c r="C11" s="43">
        <v>1</v>
      </c>
      <c r="D11" s="44">
        <v>1.6718999999999999</v>
      </c>
      <c r="E11" s="44">
        <v>1.6731</v>
      </c>
      <c r="F11" s="39">
        <v>41704.292546296296</v>
      </c>
      <c r="G11" s="39">
        <v>41704.292581018519</v>
      </c>
      <c r="H11" s="45"/>
      <c r="I11" s="102"/>
      <c r="J11" s="96" t="s">
        <v>15</v>
      </c>
      <c r="K11" s="107" t="s">
        <v>16</v>
      </c>
      <c r="L11" s="105">
        <f t="shared" ref="L11:L12" si="7">WEEKDAY(F11)</f>
        <v>5</v>
      </c>
      <c r="M11" s="19">
        <f t="shared" si="1"/>
        <v>0.29166666666666669</v>
      </c>
      <c r="N11" s="19">
        <f t="shared" si="2"/>
        <v>0.29166666666666669</v>
      </c>
      <c r="O11" s="20">
        <f t="shared" si="3"/>
        <v>0</v>
      </c>
      <c r="P11" s="3">
        <f>IF(B11="Short",((D11-E11)/Lookup!$H$2)*C11*Lookup!$G$2,((E11-D11)/Lookup!$H$2)*C11*Lookup!$G$2)</f>
        <v>75.000000000005613</v>
      </c>
      <c r="Q11" s="26"/>
      <c r="R11" s="27"/>
      <c r="S11" s="26"/>
      <c r="T11" s="26"/>
      <c r="U11" s="26"/>
      <c r="V11" s="6"/>
      <c r="W11" s="2">
        <f>P11/Lookup!$G$2+W10</f>
        <v>-3.999999999997339</v>
      </c>
      <c r="X11" s="2">
        <f t="shared" si="4"/>
        <v>-3.999999999997339</v>
      </c>
      <c r="Y11" s="5">
        <f>W11/(SUM($C$3:C11))</f>
        <v>-0.44444444444414877</v>
      </c>
      <c r="Z11" s="119">
        <f t="shared" ref="Z11:Z12" si="8">IF(P11&lt;=0,IF(P10&lt;=0,P11+Z10,P11),IF(P10&gt;0,P11+Z10,P11))</f>
        <v>75.000000000005613</v>
      </c>
      <c r="AA11" s="111"/>
      <c r="AB11" s="55"/>
    </row>
    <row r="12" spans="1:28" s="8" customFormat="1" ht="12.75" customHeight="1" x14ac:dyDescent="0.2">
      <c r="A12" s="92">
        <v>5</v>
      </c>
      <c r="B12" s="87" t="s">
        <v>10</v>
      </c>
      <c r="C12" s="43">
        <v>1</v>
      </c>
      <c r="D12" s="44">
        <v>1.6718999999999999</v>
      </c>
      <c r="E12" s="44">
        <v>1.6727000000000001</v>
      </c>
      <c r="F12" s="39">
        <v>41704.292546296296</v>
      </c>
      <c r="G12" s="39">
        <v>41704.293171296296</v>
      </c>
      <c r="H12" s="45"/>
      <c r="I12" s="102"/>
      <c r="J12" s="96" t="s">
        <v>15</v>
      </c>
      <c r="K12" s="107" t="s">
        <v>21</v>
      </c>
      <c r="L12" s="105">
        <f t="shared" si="7"/>
        <v>5</v>
      </c>
      <c r="M12" s="19">
        <f t="shared" si="1"/>
        <v>0.29166666666666669</v>
      </c>
      <c r="N12" s="19">
        <f t="shared" si="2"/>
        <v>0.29166666666666669</v>
      </c>
      <c r="O12" s="20">
        <f t="shared" si="3"/>
        <v>0</v>
      </c>
      <c r="P12" s="3">
        <f>IF(B12="Short",((D12-E12)/Lookup!$H$2)*C12*Lookup!$G$2,((E12-D12)/Lookup!$H$2)*C12*Lookup!$G$2)</f>
        <v>50.00000000000837</v>
      </c>
      <c r="Q12" s="26"/>
      <c r="R12" s="27"/>
      <c r="S12" s="26"/>
      <c r="T12" s="26"/>
      <c r="U12" s="26"/>
      <c r="V12" s="6"/>
      <c r="W12" s="2">
        <f>P12/Lookup!$G$2+W11</f>
        <v>4.0000000000040004</v>
      </c>
      <c r="X12" s="2">
        <f t="shared" si="4"/>
        <v>4.0000000000040004</v>
      </c>
      <c r="Y12" s="5">
        <f>W12/(SUM($C$3:C12))</f>
        <v>0.40000000000040004</v>
      </c>
      <c r="Z12" s="119">
        <f t="shared" si="8"/>
        <v>125.00000000001398</v>
      </c>
      <c r="AA12" s="111"/>
      <c r="AB12" s="55" t="s">
        <v>61</v>
      </c>
    </row>
    <row r="13" spans="1:28" s="8" customFormat="1" ht="12.75" customHeight="1" x14ac:dyDescent="0.2">
      <c r="A13" s="92">
        <v>6</v>
      </c>
      <c r="B13" s="88" t="s">
        <v>10</v>
      </c>
      <c r="C13" s="46">
        <v>1</v>
      </c>
      <c r="D13" s="47">
        <v>1.6735</v>
      </c>
      <c r="E13" s="47">
        <v>1.6753</v>
      </c>
      <c r="F13" s="39">
        <v>41705.154340277775</v>
      </c>
      <c r="G13" s="39">
        <v>41705.177025462966</v>
      </c>
      <c r="H13" s="45"/>
      <c r="I13" s="102"/>
      <c r="J13" s="97" t="s">
        <v>15</v>
      </c>
      <c r="K13" s="108" t="s">
        <v>16</v>
      </c>
      <c r="L13" s="105">
        <f t="shared" ref="L13:L14" si="9">WEEKDAY(F13)</f>
        <v>6</v>
      </c>
      <c r="M13" s="19">
        <f t="shared" ref="M13:M14" si="10">TIME(HOUR(F13),FLOOR(MINUTE(F13),15),0)</f>
        <v>0.14583333333333334</v>
      </c>
      <c r="N13" s="19">
        <f t="shared" ref="N13:N14" si="11">TIME(HOUR(G13),FLOOR(MINUTE(G13),15),0)</f>
        <v>0.16666666666666666</v>
      </c>
      <c r="O13" s="20">
        <f t="shared" ref="O13:O14" si="12">(FLOOR((SECOND(G13-F13)+((MINUTE(G13-F13))*60)+((HOUR(G13-F13))*3600)),300))/60</f>
        <v>30</v>
      </c>
      <c r="P13" s="3">
        <f>IF(B13="Short",((D13-E13)/Lookup!$H$2)*C13*Lookup!$G$2,((E13-D13)/Lookup!$H$2)*C13*Lookup!$G$2)</f>
        <v>112.50000000000149</v>
      </c>
      <c r="Q13" s="26"/>
      <c r="R13" s="27"/>
      <c r="S13" s="26"/>
      <c r="T13" s="26"/>
      <c r="U13" s="26"/>
      <c r="V13" s="6"/>
      <c r="W13" s="2">
        <f>P13/Lookup!$G$2+W12</f>
        <v>22.000000000004238</v>
      </c>
      <c r="X13" s="2">
        <f t="shared" si="4"/>
        <v>22.000000000004238</v>
      </c>
      <c r="Y13" s="5">
        <f>W13/(SUM($C$3:C13))</f>
        <v>2.0000000000003855</v>
      </c>
      <c r="Z13" s="119">
        <f t="shared" ref="Z13:Z14" si="13">IF(P13&lt;=0,IF(P12&lt;=0,P13+Z12,P13),IF(P12&gt;0,P13+Z12,P13))</f>
        <v>237.50000000001546</v>
      </c>
      <c r="AA13" s="112"/>
      <c r="AB13" s="56"/>
    </row>
    <row r="14" spans="1:28" s="8" customFormat="1" ht="12.75" customHeight="1" x14ac:dyDescent="0.2">
      <c r="A14" s="92">
        <v>6</v>
      </c>
      <c r="B14" s="87" t="s">
        <v>10</v>
      </c>
      <c r="C14" s="43">
        <v>1</v>
      </c>
      <c r="D14" s="47">
        <v>1.6735</v>
      </c>
      <c r="E14" s="44">
        <v>1.6749000000000001</v>
      </c>
      <c r="F14" s="39">
        <v>41705.154340277775</v>
      </c>
      <c r="G14" s="39">
        <v>41705.19259259259</v>
      </c>
      <c r="H14" s="45"/>
      <c r="I14" s="102"/>
      <c r="J14" s="96" t="s">
        <v>15</v>
      </c>
      <c r="K14" s="107" t="s">
        <v>21</v>
      </c>
      <c r="L14" s="105">
        <f t="shared" si="9"/>
        <v>6</v>
      </c>
      <c r="M14" s="19">
        <f t="shared" si="10"/>
        <v>0.14583333333333334</v>
      </c>
      <c r="N14" s="19">
        <f t="shared" si="11"/>
        <v>0.1875</v>
      </c>
      <c r="O14" s="20">
        <f t="shared" si="12"/>
        <v>55</v>
      </c>
      <c r="P14" s="3">
        <f>IF(B14="Short",((D14-E14)/Lookup!$H$2)*C14*Lookup!$G$2,((E14-D14)/Lookup!$H$2)*C14*Lookup!$G$2)</f>
        <v>87.500000000004235</v>
      </c>
      <c r="Q14" s="26"/>
      <c r="R14" s="27"/>
      <c r="S14" s="26"/>
      <c r="T14" s="26"/>
      <c r="U14" s="26"/>
      <c r="V14" s="6"/>
      <c r="W14" s="2">
        <f>P14/Lookup!$G$2+W13</f>
        <v>36.000000000004917</v>
      </c>
      <c r="X14" s="2">
        <f t="shared" si="4"/>
        <v>36.000000000004917</v>
      </c>
      <c r="Y14" s="5">
        <f>W14/(SUM($C$3:C14))</f>
        <v>3.0000000000004099</v>
      </c>
      <c r="Z14" s="119">
        <f t="shared" si="13"/>
        <v>325.00000000001967</v>
      </c>
      <c r="AA14" s="111"/>
      <c r="AB14" s="55"/>
    </row>
    <row r="15" spans="1:28" s="8" customFormat="1" ht="12.75" customHeight="1" x14ac:dyDescent="0.2">
      <c r="A15" s="92">
        <v>7</v>
      </c>
      <c r="B15" s="88" t="s">
        <v>10</v>
      </c>
      <c r="C15" s="46">
        <v>1</v>
      </c>
      <c r="D15" s="47">
        <v>1.6617</v>
      </c>
      <c r="E15" s="47">
        <v>1.6618999999999999</v>
      </c>
      <c r="F15" s="39">
        <v>41709.189502314817</v>
      </c>
      <c r="G15" s="39">
        <v>41709.205046296294</v>
      </c>
      <c r="H15" s="45"/>
      <c r="I15" s="102"/>
      <c r="J15" s="96" t="s">
        <v>15</v>
      </c>
      <c r="K15" s="108" t="s">
        <v>68</v>
      </c>
      <c r="L15" s="105">
        <f t="shared" ref="L15:L28" si="14">WEEKDAY(F15)</f>
        <v>3</v>
      </c>
      <c r="M15" s="19">
        <f t="shared" ref="M15:M28" si="15">TIME(HOUR(F15),FLOOR(MINUTE(F15),15),0)</f>
        <v>0.1875</v>
      </c>
      <c r="N15" s="19">
        <f t="shared" ref="N15:N28" si="16">TIME(HOUR(G15),FLOOR(MINUTE(G15),15),0)</f>
        <v>0.19791666666666666</v>
      </c>
      <c r="O15" s="20">
        <f t="shared" ref="O15:O28" si="17">(FLOOR((SECOND(G15-F15)+((MINUTE(G15-F15))*60)+((HOUR(G15-F15))*3600)),300))/60</f>
        <v>20</v>
      </c>
      <c r="P15" s="3">
        <f>IF(B15="Short",((D15-E15)/Lookup!$H$2)*C15*Lookup!$G$2,((E15-D15)/Lookup!$H$2)*C15*Lookup!$G$2)</f>
        <v>12.499999999998623</v>
      </c>
      <c r="Q15" s="26"/>
      <c r="R15" s="27"/>
      <c r="S15" s="26"/>
      <c r="T15" s="26"/>
      <c r="U15" s="26"/>
      <c r="V15" s="6"/>
      <c r="W15" s="2">
        <f>P15/Lookup!$G$2+W14</f>
        <v>38.000000000004697</v>
      </c>
      <c r="X15" s="2">
        <f t="shared" si="4"/>
        <v>38.000000000004697</v>
      </c>
      <c r="Y15" s="5">
        <f>W15/(SUM($C$3:C15))</f>
        <v>2.9230769230772844</v>
      </c>
      <c r="Z15" s="119">
        <f t="shared" ref="Z15:Z28" si="18">IF(P15&lt;=0,IF(P14&lt;=0,P15+Z14,P15),IF(P14&gt;0,P15+Z14,P15))</f>
        <v>337.5000000000183</v>
      </c>
      <c r="AA15" s="113"/>
      <c r="AB15" s="55"/>
    </row>
    <row r="16" spans="1:28" s="8" customFormat="1" ht="12.75" customHeight="1" x14ac:dyDescent="0.2">
      <c r="A16" s="92">
        <v>7</v>
      </c>
      <c r="B16" s="87" t="s">
        <v>10</v>
      </c>
      <c r="C16" s="43">
        <v>1</v>
      </c>
      <c r="D16" s="47">
        <v>1.6617</v>
      </c>
      <c r="E16" s="47">
        <v>1.6618999999999999</v>
      </c>
      <c r="F16" s="39">
        <v>41709.189502314817</v>
      </c>
      <c r="G16" s="39">
        <v>41709.205046296294</v>
      </c>
      <c r="H16" s="45"/>
      <c r="I16" s="102"/>
      <c r="J16" s="96" t="s">
        <v>15</v>
      </c>
      <c r="K16" s="107" t="s">
        <v>68</v>
      </c>
      <c r="L16" s="105">
        <f t="shared" si="14"/>
        <v>3</v>
      </c>
      <c r="M16" s="19">
        <f t="shared" si="15"/>
        <v>0.1875</v>
      </c>
      <c r="N16" s="19">
        <f t="shared" si="16"/>
        <v>0.19791666666666666</v>
      </c>
      <c r="O16" s="20">
        <f t="shared" si="17"/>
        <v>20</v>
      </c>
      <c r="P16" s="3">
        <f>IF(B16="Short",((D16-E16)/Lookup!$H$2)*C16*Lookup!$G$2,((E16-D16)/Lookup!$H$2)*C16*Lookup!$G$2)</f>
        <v>12.499999999998623</v>
      </c>
      <c r="Q16" s="26"/>
      <c r="R16" s="27"/>
      <c r="S16" s="26"/>
      <c r="T16" s="26"/>
      <c r="U16" s="26"/>
      <c r="V16" s="6"/>
      <c r="W16" s="2">
        <f>P16/Lookup!$G$2+W15</f>
        <v>40.000000000004476</v>
      </c>
      <c r="X16" s="2">
        <f t="shared" si="4"/>
        <v>40.000000000004476</v>
      </c>
      <c r="Y16" s="5">
        <f>W16/(SUM($C$3:C16))</f>
        <v>2.857142857143177</v>
      </c>
      <c r="Z16" s="119">
        <f t="shared" si="18"/>
        <v>350.00000000001694</v>
      </c>
      <c r="AA16" s="113"/>
      <c r="AB16" s="55"/>
    </row>
    <row r="17" spans="1:28" s="8" customFormat="1" ht="12.75" customHeight="1" x14ac:dyDescent="0.2">
      <c r="A17" s="92">
        <v>8</v>
      </c>
      <c r="B17" s="87" t="s">
        <v>19</v>
      </c>
      <c r="C17" s="43">
        <v>1</v>
      </c>
      <c r="D17" s="44">
        <v>1.6607000000000001</v>
      </c>
      <c r="E17" s="44">
        <v>1.6591</v>
      </c>
      <c r="F17" s="39">
        <v>41710.16951388889</v>
      </c>
      <c r="G17" s="39">
        <v>41710.184849537036</v>
      </c>
      <c r="H17" s="45"/>
      <c r="I17" s="102"/>
      <c r="J17" s="96" t="s">
        <v>15</v>
      </c>
      <c r="K17" s="107" t="s">
        <v>16</v>
      </c>
      <c r="L17" s="105">
        <f t="shared" si="14"/>
        <v>4</v>
      </c>
      <c r="M17" s="19">
        <f t="shared" si="15"/>
        <v>0.16666666666666666</v>
      </c>
      <c r="N17" s="19">
        <f t="shared" si="16"/>
        <v>0.17708333333333334</v>
      </c>
      <c r="O17" s="20">
        <f t="shared" si="17"/>
        <v>20</v>
      </c>
      <c r="P17" s="3">
        <f>IF(B17="Short",((D17-E17)/Lookup!$H$2)*C17*Lookup!$G$2,((E17-D17)/Lookup!$H$2)*C17*Lookup!$G$2)</f>
        <v>100.00000000000287</v>
      </c>
      <c r="Q17" s="26"/>
      <c r="R17" s="27"/>
      <c r="S17" s="26"/>
      <c r="T17" s="26"/>
      <c r="U17" s="26"/>
      <c r="V17" s="6"/>
      <c r="W17" s="2">
        <f>P17/Lookup!$G$2+W16</f>
        <v>56.000000000004931</v>
      </c>
      <c r="X17" s="2">
        <f t="shared" si="4"/>
        <v>56.000000000004931</v>
      </c>
      <c r="Y17" s="5">
        <f>W17/(SUM($C$3:C17))</f>
        <v>3.733333333333662</v>
      </c>
      <c r="Z17" s="119">
        <f t="shared" si="18"/>
        <v>450.00000000001978</v>
      </c>
      <c r="AA17" s="113"/>
      <c r="AB17" s="55"/>
    </row>
    <row r="18" spans="1:28" s="8" customFormat="1" ht="12.75" customHeight="1" x14ac:dyDescent="0.2">
      <c r="A18" s="92">
        <v>8</v>
      </c>
      <c r="B18" s="87" t="s">
        <v>19</v>
      </c>
      <c r="C18" s="43">
        <v>1</v>
      </c>
      <c r="D18" s="44">
        <v>1.6607000000000001</v>
      </c>
      <c r="E18" s="44">
        <v>1.6600999999999999</v>
      </c>
      <c r="F18" s="39">
        <v>41710.16951388889</v>
      </c>
      <c r="G18" s="39">
        <v>41710.191770833335</v>
      </c>
      <c r="H18" s="45"/>
      <c r="I18" s="102"/>
      <c r="J18" s="96" t="s">
        <v>15</v>
      </c>
      <c r="K18" s="107" t="s">
        <v>21</v>
      </c>
      <c r="L18" s="105">
        <f t="shared" si="14"/>
        <v>4</v>
      </c>
      <c r="M18" s="19">
        <f t="shared" si="15"/>
        <v>0.16666666666666666</v>
      </c>
      <c r="N18" s="19">
        <f t="shared" si="16"/>
        <v>0.1875</v>
      </c>
      <c r="O18" s="20">
        <f t="shared" si="17"/>
        <v>30</v>
      </c>
      <c r="P18" s="3">
        <f>IF(B18="Short",((D18-E18)/Lookup!$H$2)*C18*Lookup!$G$2,((E18-D18)/Lookup!$H$2)*C18*Lookup!$G$2)</f>
        <v>37.500000000009749</v>
      </c>
      <c r="Q18" s="26"/>
      <c r="R18" s="27"/>
      <c r="S18" s="26"/>
      <c r="T18" s="26"/>
      <c r="U18" s="26"/>
      <c r="V18" s="6"/>
      <c r="W18" s="2">
        <f>P18/Lookup!$G$2+W17</f>
        <v>62.000000000006494</v>
      </c>
      <c r="X18" s="2">
        <f t="shared" si="4"/>
        <v>62.000000000006494</v>
      </c>
      <c r="Y18" s="5">
        <f>W18/(SUM($C$3:C18))</f>
        <v>3.8750000000004059</v>
      </c>
      <c r="Z18" s="119">
        <f t="shared" si="18"/>
        <v>487.50000000002956</v>
      </c>
      <c r="AA18" s="113"/>
      <c r="AB18" s="55"/>
    </row>
    <row r="19" spans="1:28" s="8" customFormat="1" ht="12.75" customHeight="1" x14ac:dyDescent="0.2">
      <c r="A19" s="92">
        <v>9</v>
      </c>
      <c r="B19" s="85" t="s">
        <v>10</v>
      </c>
      <c r="C19" s="37">
        <v>1</v>
      </c>
      <c r="D19" s="38">
        <v>1.6669</v>
      </c>
      <c r="E19" s="38">
        <v>1.6655</v>
      </c>
      <c r="F19" s="39">
        <v>41711.129641203705</v>
      </c>
      <c r="G19" s="39">
        <v>41711.164305555554</v>
      </c>
      <c r="H19" s="45"/>
      <c r="I19" s="102"/>
      <c r="J19" s="96" t="s">
        <v>15</v>
      </c>
      <c r="K19" s="92" t="s">
        <v>23</v>
      </c>
      <c r="L19" s="105">
        <f t="shared" si="14"/>
        <v>5</v>
      </c>
      <c r="M19" s="19">
        <f t="shared" si="15"/>
        <v>0.125</v>
      </c>
      <c r="N19" s="19">
        <f t="shared" si="16"/>
        <v>0.15625</v>
      </c>
      <c r="O19" s="20">
        <f t="shared" si="17"/>
        <v>45</v>
      </c>
      <c r="P19" s="3">
        <f>IF(B19="Short",((D19-E19)/Lookup!$H$2)*C19*Lookup!$G$2,((E19-D19)/Lookup!$H$2)*C19*Lookup!$G$2)</f>
        <v>-87.500000000004235</v>
      </c>
      <c r="Q19" s="26"/>
      <c r="R19" s="27"/>
      <c r="S19" s="26"/>
      <c r="T19" s="26"/>
      <c r="U19" s="26"/>
      <c r="V19" s="6"/>
      <c r="W19" s="2">
        <f>P19/Lookup!$G$2+W18</f>
        <v>48.000000000005819</v>
      </c>
      <c r="X19" s="2">
        <f t="shared" si="4"/>
        <v>48.000000000005819</v>
      </c>
      <c r="Y19" s="5">
        <f>W19/(SUM($C$3:C19))</f>
        <v>2.823529411765048</v>
      </c>
      <c r="Z19" s="119">
        <f t="shared" si="18"/>
        <v>-87.500000000004235</v>
      </c>
      <c r="AA19" s="113"/>
      <c r="AB19" s="55"/>
    </row>
    <row r="20" spans="1:28" s="8" customFormat="1" ht="12.75" customHeight="1" x14ac:dyDescent="0.2">
      <c r="A20" s="92">
        <v>9</v>
      </c>
      <c r="B20" s="89" t="s">
        <v>10</v>
      </c>
      <c r="C20" s="48">
        <v>1</v>
      </c>
      <c r="D20" s="38">
        <v>1.6669</v>
      </c>
      <c r="E20" s="38">
        <v>1.6655</v>
      </c>
      <c r="F20" s="39">
        <v>41711.129641203705</v>
      </c>
      <c r="G20" s="39">
        <v>41711.164305555554</v>
      </c>
      <c r="H20" s="45"/>
      <c r="I20" s="102"/>
      <c r="J20" s="98" t="s">
        <v>15</v>
      </c>
      <c r="K20" s="109" t="s">
        <v>23</v>
      </c>
      <c r="L20" s="105">
        <f t="shared" si="14"/>
        <v>5</v>
      </c>
      <c r="M20" s="19">
        <f t="shared" si="15"/>
        <v>0.125</v>
      </c>
      <c r="N20" s="19">
        <f t="shared" si="16"/>
        <v>0.15625</v>
      </c>
      <c r="O20" s="20">
        <f t="shared" si="17"/>
        <v>45</v>
      </c>
      <c r="P20" s="3">
        <f>IF(B20="Short",((D20-E20)/Lookup!$H$2)*C20*Lookup!$G$2,((E20-D20)/Lookup!$H$2)*C20*Lookup!$G$2)</f>
        <v>-87.500000000004235</v>
      </c>
      <c r="Q20" s="26"/>
      <c r="R20" s="27"/>
      <c r="S20" s="26"/>
      <c r="T20" s="26"/>
      <c r="U20" s="26"/>
      <c r="V20" s="6"/>
      <c r="W20" s="2">
        <f>P20/Lookup!$G$2+W19</f>
        <v>34.000000000005144</v>
      </c>
      <c r="X20" s="2">
        <f t="shared" si="4"/>
        <v>34.000000000005144</v>
      </c>
      <c r="Y20" s="5">
        <f>W20/(SUM($C$3:C20))</f>
        <v>1.8888888888891746</v>
      </c>
      <c r="Z20" s="119">
        <f t="shared" si="18"/>
        <v>-175.00000000000847</v>
      </c>
      <c r="AA20" s="114"/>
      <c r="AB20" s="57"/>
    </row>
    <row r="21" spans="1:28" s="8" customFormat="1" ht="12.75" customHeight="1" x14ac:dyDescent="0.2">
      <c r="A21" s="92">
        <v>10</v>
      </c>
      <c r="B21" s="85" t="s">
        <v>10</v>
      </c>
      <c r="C21" s="37">
        <v>1</v>
      </c>
      <c r="D21" s="38">
        <v>1.6664000000000001</v>
      </c>
      <c r="E21" s="38">
        <v>1.6674</v>
      </c>
      <c r="F21" s="39">
        <v>41711.222118055557</v>
      </c>
      <c r="G21" s="39">
        <v>41711.228854166664</v>
      </c>
      <c r="H21" s="45"/>
      <c r="I21" s="102"/>
      <c r="J21" s="98" t="s">
        <v>15</v>
      </c>
      <c r="K21" s="92" t="s">
        <v>16</v>
      </c>
      <c r="L21" s="105">
        <f t="shared" si="14"/>
        <v>5</v>
      </c>
      <c r="M21" s="19">
        <f t="shared" si="15"/>
        <v>0.21875</v>
      </c>
      <c r="N21" s="19">
        <f t="shared" si="16"/>
        <v>0.21875</v>
      </c>
      <c r="O21" s="20">
        <f t="shared" si="17"/>
        <v>5</v>
      </c>
      <c r="P21" s="3">
        <f>IF(B21="Short",((D21-E21)/Lookup!$H$2)*C21*Lookup!$G$2,((E21-D21)/Lookup!$H$2)*C21*Lookup!$G$2)</f>
        <v>62.499999999993115</v>
      </c>
      <c r="Q21" s="26"/>
      <c r="R21" s="27"/>
      <c r="S21" s="26"/>
      <c r="T21" s="26"/>
      <c r="U21" s="26"/>
      <c r="V21" s="6"/>
      <c r="W21" s="2">
        <f>P21/Lookup!$G$2+W20</f>
        <v>44.000000000004043</v>
      </c>
      <c r="X21" s="2">
        <f t="shared" si="4"/>
        <v>44.000000000004043</v>
      </c>
      <c r="Y21" s="5">
        <f>W21/(SUM($C$3:C21))</f>
        <v>2.3157894736844233</v>
      </c>
      <c r="Z21" s="119">
        <f t="shared" si="18"/>
        <v>62.499999999993115</v>
      </c>
      <c r="AA21" s="113"/>
      <c r="AB21" s="55"/>
    </row>
    <row r="22" spans="1:28" s="8" customFormat="1" ht="12.75" customHeight="1" x14ac:dyDescent="0.2">
      <c r="A22" s="92">
        <v>10</v>
      </c>
      <c r="B22" s="85" t="s">
        <v>10</v>
      </c>
      <c r="C22" s="37">
        <v>1</v>
      </c>
      <c r="D22" s="38">
        <v>1.6664000000000001</v>
      </c>
      <c r="E22" s="38">
        <v>1.6669</v>
      </c>
      <c r="F22" s="39">
        <v>41711.222118055557</v>
      </c>
      <c r="G22" s="39">
        <v>41711.258206018516</v>
      </c>
      <c r="H22" s="45"/>
      <c r="I22" s="102"/>
      <c r="J22" s="98" t="s">
        <v>15</v>
      </c>
      <c r="K22" s="92" t="s">
        <v>21</v>
      </c>
      <c r="L22" s="105">
        <f t="shared" si="14"/>
        <v>5</v>
      </c>
      <c r="M22" s="19">
        <f t="shared" si="15"/>
        <v>0.21875</v>
      </c>
      <c r="N22" s="19">
        <f t="shared" si="16"/>
        <v>0.25</v>
      </c>
      <c r="O22" s="20">
        <f t="shared" si="17"/>
        <v>50</v>
      </c>
      <c r="P22" s="3">
        <f>IF(B22="Short",((D22-E22)/Lookup!$H$2)*C22*Lookup!$G$2,((E22-D22)/Lookup!$H$2)*C22*Lookup!$G$2)</f>
        <v>31.249999999996557</v>
      </c>
      <c r="Q22" s="26"/>
      <c r="R22" s="27"/>
      <c r="S22" s="26"/>
      <c r="T22" s="26"/>
      <c r="U22" s="26"/>
      <c r="V22" s="6"/>
      <c r="W22" s="2">
        <f>P22/Lookup!$G$2+W21</f>
        <v>49.000000000003496</v>
      </c>
      <c r="X22" s="2">
        <f t="shared" si="4"/>
        <v>49.000000000003496</v>
      </c>
      <c r="Y22" s="5">
        <f>W22/(SUM($C$3:C22))</f>
        <v>2.4500000000001747</v>
      </c>
      <c r="Z22" s="119">
        <f t="shared" si="18"/>
        <v>93.749999999989669</v>
      </c>
      <c r="AA22" s="113"/>
      <c r="AB22" s="55"/>
    </row>
    <row r="23" spans="1:28" s="8" customFormat="1" ht="12.75" customHeight="1" x14ac:dyDescent="0.2">
      <c r="A23" s="92">
        <v>11</v>
      </c>
      <c r="B23" s="85" t="s">
        <v>19</v>
      </c>
      <c r="C23" s="37">
        <v>1</v>
      </c>
      <c r="D23" s="38">
        <v>1.6591</v>
      </c>
      <c r="E23" s="38">
        <v>1.6611</v>
      </c>
      <c r="F23" s="39">
        <v>41712.135914351849</v>
      </c>
      <c r="G23" s="39">
        <v>41712.20652777778</v>
      </c>
      <c r="H23" s="45"/>
      <c r="I23" s="102"/>
      <c r="J23" s="98" t="s">
        <v>15</v>
      </c>
      <c r="K23" s="92" t="s">
        <v>23</v>
      </c>
      <c r="L23" s="105">
        <f t="shared" si="14"/>
        <v>6</v>
      </c>
      <c r="M23" s="19">
        <f t="shared" si="15"/>
        <v>0.13541666666666666</v>
      </c>
      <c r="N23" s="19">
        <f t="shared" si="16"/>
        <v>0.19791666666666666</v>
      </c>
      <c r="O23" s="20">
        <f t="shared" si="17"/>
        <v>100</v>
      </c>
      <c r="P23" s="3">
        <f>IF(B23="Short",((D23-E23)/Lookup!$H$2)*C23*Lookup!$G$2,((E23-D23)/Lookup!$H$2)*C23*Lookup!$G$2)</f>
        <v>-125.00000000000011</v>
      </c>
      <c r="Q23" s="26"/>
      <c r="R23" s="27"/>
      <c r="S23" s="26"/>
      <c r="T23" s="26"/>
      <c r="U23" s="26"/>
      <c r="V23" s="6"/>
      <c r="W23" s="2">
        <f>P23/Lookup!$G$2+W22</f>
        <v>29.000000000003478</v>
      </c>
      <c r="X23" s="2">
        <f t="shared" si="4"/>
        <v>29.000000000003478</v>
      </c>
      <c r="Y23" s="5">
        <f>W23/(SUM($C$3:C23))</f>
        <v>1.3809523809525466</v>
      </c>
      <c r="Z23" s="119">
        <f t="shared" si="18"/>
        <v>-125.00000000000011</v>
      </c>
      <c r="AA23" s="113"/>
      <c r="AB23" s="55"/>
    </row>
    <row r="24" spans="1:28" s="8" customFormat="1" ht="12.75" customHeight="1" x14ac:dyDescent="0.2">
      <c r="A24" s="92">
        <v>11</v>
      </c>
      <c r="B24" s="85" t="s">
        <v>19</v>
      </c>
      <c r="C24" s="37">
        <v>1</v>
      </c>
      <c r="D24" s="38">
        <v>1.6591</v>
      </c>
      <c r="E24" s="38">
        <v>1.6611</v>
      </c>
      <c r="F24" s="39">
        <v>41712.135914351849</v>
      </c>
      <c r="G24" s="39">
        <v>41712.20652777778</v>
      </c>
      <c r="H24" s="45"/>
      <c r="I24" s="102"/>
      <c r="J24" s="96" t="s">
        <v>15</v>
      </c>
      <c r="K24" s="92" t="s">
        <v>23</v>
      </c>
      <c r="L24" s="105">
        <f t="shared" si="14"/>
        <v>6</v>
      </c>
      <c r="M24" s="19">
        <f t="shared" si="15"/>
        <v>0.13541666666666666</v>
      </c>
      <c r="N24" s="19">
        <f t="shared" si="16"/>
        <v>0.19791666666666666</v>
      </c>
      <c r="O24" s="20">
        <f t="shared" si="17"/>
        <v>100</v>
      </c>
      <c r="P24" s="3">
        <f>IF(B24="Short",((D24-E24)/Lookup!$H$2)*C24*Lookup!$G$2,((E24-D24)/Lookup!$H$2)*C24*Lookup!$G$2)</f>
        <v>-125.00000000000011</v>
      </c>
      <c r="Q24" s="26"/>
      <c r="R24" s="27"/>
      <c r="S24" s="26"/>
      <c r="T24" s="26"/>
      <c r="U24" s="26"/>
      <c r="V24" s="6"/>
      <c r="W24" s="2">
        <f>P24/Lookup!$G$2+W23</f>
        <v>9.0000000000034603</v>
      </c>
      <c r="X24" s="2">
        <f t="shared" si="4"/>
        <v>9.0000000000034603</v>
      </c>
      <c r="Y24" s="5">
        <f>W24/(SUM($C$3:C24))</f>
        <v>0.40909090909106638</v>
      </c>
      <c r="Z24" s="119">
        <f t="shared" si="18"/>
        <v>-250.00000000000023</v>
      </c>
      <c r="AA24" s="113"/>
      <c r="AB24" s="55"/>
    </row>
    <row r="25" spans="1:28" s="8" customFormat="1" ht="12.75" customHeight="1" x14ac:dyDescent="0.2">
      <c r="A25" s="92">
        <v>12</v>
      </c>
      <c r="B25" s="85" t="s">
        <v>10</v>
      </c>
      <c r="C25" s="37">
        <v>1</v>
      </c>
      <c r="D25" s="38">
        <v>1.6638999999999999</v>
      </c>
      <c r="E25" s="38">
        <v>1.6629</v>
      </c>
      <c r="F25" s="39">
        <v>41715.21193287037</v>
      </c>
      <c r="G25" s="39">
        <v>41715.231504629628</v>
      </c>
      <c r="H25" s="45"/>
      <c r="I25" s="102"/>
      <c r="J25" s="96" t="s">
        <v>15</v>
      </c>
      <c r="K25" s="92" t="s">
        <v>23</v>
      </c>
      <c r="L25" s="105">
        <f t="shared" si="14"/>
        <v>2</v>
      </c>
      <c r="M25" s="19">
        <f t="shared" si="15"/>
        <v>0.20833333333333334</v>
      </c>
      <c r="N25" s="19">
        <f t="shared" si="16"/>
        <v>0.22916666666666666</v>
      </c>
      <c r="O25" s="20">
        <f t="shared" si="17"/>
        <v>25</v>
      </c>
      <c r="P25" s="3">
        <f>IF(B25="Short",((D25-E25)/Lookup!$H$2)*C25*Lookup!$G$2,((E25-D25)/Lookup!$H$2)*C25*Lookup!$G$2)</f>
        <v>-62.499999999993115</v>
      </c>
      <c r="Q25" s="26"/>
      <c r="R25" s="27"/>
      <c r="S25" s="26"/>
      <c r="T25" s="26"/>
      <c r="U25" s="26"/>
      <c r="V25" s="6"/>
      <c r="W25" s="2">
        <f>P25/Lookup!$G$2+W24</f>
        <v>-0.99999999999543832</v>
      </c>
      <c r="X25" s="2">
        <f t="shared" si="4"/>
        <v>-0.99999999999543832</v>
      </c>
      <c r="Y25" s="5">
        <f>W25/(SUM($C$3:C25))</f>
        <v>-4.3478260869366882E-2</v>
      </c>
      <c r="Z25" s="119">
        <f t="shared" si="18"/>
        <v>-312.49999999999335</v>
      </c>
      <c r="AA25" s="113"/>
      <c r="AB25" s="55"/>
    </row>
    <row r="26" spans="1:28" s="8" customFormat="1" ht="12.75" customHeight="1" x14ac:dyDescent="0.2">
      <c r="A26" s="92">
        <v>12</v>
      </c>
      <c r="B26" s="85" t="s">
        <v>10</v>
      </c>
      <c r="C26" s="37">
        <v>1</v>
      </c>
      <c r="D26" s="38">
        <v>1.6638999999999999</v>
      </c>
      <c r="E26" s="38">
        <v>1.6629</v>
      </c>
      <c r="F26" s="39">
        <v>41715.21193287037</v>
      </c>
      <c r="G26" s="39">
        <v>41715.231504629628</v>
      </c>
      <c r="H26" s="45"/>
      <c r="I26" s="102"/>
      <c r="J26" s="96" t="s">
        <v>15</v>
      </c>
      <c r="K26" s="92" t="s">
        <v>23</v>
      </c>
      <c r="L26" s="105">
        <f t="shared" si="14"/>
        <v>2</v>
      </c>
      <c r="M26" s="19">
        <f t="shared" si="15"/>
        <v>0.20833333333333334</v>
      </c>
      <c r="N26" s="19">
        <f t="shared" si="16"/>
        <v>0.22916666666666666</v>
      </c>
      <c r="O26" s="20">
        <f t="shared" si="17"/>
        <v>25</v>
      </c>
      <c r="P26" s="3">
        <f>IF(B26="Short",((D26-E26)/Lookup!$H$2)*C26*Lookup!$G$2,((E26-D26)/Lookup!$H$2)*C26*Lookup!$G$2)</f>
        <v>-62.499999999993115</v>
      </c>
      <c r="Q26" s="26"/>
      <c r="R26" s="27"/>
      <c r="S26" s="26"/>
      <c r="T26" s="26"/>
      <c r="U26" s="26"/>
      <c r="V26" s="6"/>
      <c r="W26" s="2">
        <f>P26/Lookup!$G$2+W25</f>
        <v>-10.999999999994337</v>
      </c>
      <c r="X26" s="2">
        <f t="shared" si="4"/>
        <v>-10.999999999994337</v>
      </c>
      <c r="Y26" s="5">
        <f>W26/(SUM($C$3:C26))</f>
        <v>-0.45833333333309739</v>
      </c>
      <c r="Z26" s="119">
        <f t="shared" si="18"/>
        <v>-374.99999999998647</v>
      </c>
      <c r="AA26" s="113"/>
      <c r="AB26" s="55"/>
    </row>
    <row r="27" spans="1:28" s="8" customFormat="1" ht="12.75" customHeight="1" x14ac:dyDescent="0.2">
      <c r="A27" s="92">
        <v>13</v>
      </c>
      <c r="B27" s="85" t="s">
        <v>19</v>
      </c>
      <c r="C27" s="37">
        <v>1</v>
      </c>
      <c r="D27" s="38">
        <v>1.6611</v>
      </c>
      <c r="E27" s="38">
        <v>1.6597999999999999</v>
      </c>
      <c r="F27" s="39">
        <v>41715.30976851852</v>
      </c>
      <c r="G27" s="39">
        <v>41715.310370370367</v>
      </c>
      <c r="H27" s="45"/>
      <c r="I27" s="102"/>
      <c r="J27" s="98" t="s">
        <v>27</v>
      </c>
      <c r="K27" s="92" t="s">
        <v>16</v>
      </c>
      <c r="L27" s="105">
        <f t="shared" si="14"/>
        <v>2</v>
      </c>
      <c r="M27" s="19">
        <f t="shared" si="15"/>
        <v>0.30208333333333331</v>
      </c>
      <c r="N27" s="19">
        <f t="shared" si="16"/>
        <v>0.30208333333333331</v>
      </c>
      <c r="O27" s="20">
        <f t="shared" si="17"/>
        <v>0</v>
      </c>
      <c r="P27" s="3">
        <f>IF(B27="Short",((D27-E27)/Lookup!$H$2)*C27*Lookup!$G$2,((E27-D27)/Lookup!$H$2)*C27*Lookup!$G$2)</f>
        <v>81.250000000004931</v>
      </c>
      <c r="Q27" s="26"/>
      <c r="R27" s="27"/>
      <c r="S27" s="26"/>
      <c r="T27" s="26"/>
      <c r="U27" s="26"/>
      <c r="V27" s="6"/>
      <c r="W27" s="2">
        <f>P27/Lookup!$G$2+W26</f>
        <v>2.0000000000064517</v>
      </c>
      <c r="X27" s="2">
        <f t="shared" si="4"/>
        <v>2.0000000000064517</v>
      </c>
      <c r="Y27" s="5">
        <f>W27/(SUM($C$3:C27))</f>
        <v>8.0000000000258073E-2</v>
      </c>
      <c r="Z27" s="119">
        <f t="shared" si="18"/>
        <v>81.250000000004931</v>
      </c>
      <c r="AA27" s="113"/>
      <c r="AB27" s="55"/>
    </row>
    <row r="28" spans="1:28" s="8" customFormat="1" ht="12.75" customHeight="1" x14ac:dyDescent="0.2">
      <c r="A28" s="92">
        <v>13</v>
      </c>
      <c r="B28" s="85" t="s">
        <v>19</v>
      </c>
      <c r="C28" s="37">
        <v>1</v>
      </c>
      <c r="D28" s="38">
        <v>1.6611</v>
      </c>
      <c r="E28" s="38">
        <v>1.6603000000000001</v>
      </c>
      <c r="F28" s="39">
        <v>41715.30976851852</v>
      </c>
      <c r="G28" s="39">
        <v>41715.35564814815</v>
      </c>
      <c r="H28" s="45"/>
      <c r="I28" s="102"/>
      <c r="J28" s="96" t="s">
        <v>27</v>
      </c>
      <c r="K28" s="92" t="s">
        <v>21</v>
      </c>
      <c r="L28" s="105">
        <f t="shared" si="14"/>
        <v>2</v>
      </c>
      <c r="M28" s="19">
        <f t="shared" si="15"/>
        <v>0.30208333333333331</v>
      </c>
      <c r="N28" s="19">
        <f t="shared" si="16"/>
        <v>0.35416666666666669</v>
      </c>
      <c r="O28" s="20">
        <f t="shared" si="17"/>
        <v>65</v>
      </c>
      <c r="P28" s="3">
        <f>IF(B28="Short",((D28-E28)/Lookup!$H$2)*C28*Lookup!$G$2,((E28-D28)/Lookup!$H$2)*C28*Lookup!$G$2)</f>
        <v>49.999999999994493</v>
      </c>
      <c r="Q28" s="26"/>
      <c r="R28" s="27"/>
      <c r="S28" s="26"/>
      <c r="T28" s="26"/>
      <c r="U28" s="26"/>
      <c r="V28" s="6"/>
      <c r="W28" s="2">
        <f>P28/Lookup!$G$2+W27</f>
        <v>10.000000000005571</v>
      </c>
      <c r="X28" s="2">
        <f t="shared" si="4"/>
        <v>10.000000000005571</v>
      </c>
      <c r="Y28" s="5">
        <f>W28/(SUM($C$3:C28))</f>
        <v>0.38461538461559885</v>
      </c>
      <c r="Z28" s="119">
        <f t="shared" si="18"/>
        <v>131.24999999999943</v>
      </c>
      <c r="AA28" s="113"/>
      <c r="AB28" s="55"/>
    </row>
    <row r="29" spans="1:28" s="8" customFormat="1" ht="12.75" customHeight="1" x14ac:dyDescent="0.2">
      <c r="A29" s="92">
        <v>14</v>
      </c>
      <c r="B29" s="85" t="s">
        <v>19</v>
      </c>
      <c r="C29" s="37">
        <v>1</v>
      </c>
      <c r="D29" s="38">
        <v>1.6605000000000001</v>
      </c>
      <c r="E29" s="38">
        <v>1.6589</v>
      </c>
      <c r="F29" s="39">
        <v>41716.156817129631</v>
      </c>
      <c r="G29" s="39">
        <v>41716.166759259257</v>
      </c>
      <c r="H29" s="45"/>
      <c r="I29" s="102"/>
      <c r="J29" s="98" t="s">
        <v>15</v>
      </c>
      <c r="K29" s="92" t="s">
        <v>16</v>
      </c>
      <c r="L29" s="105">
        <f t="shared" ref="L29:L38" si="19">WEEKDAY(F29)</f>
        <v>3</v>
      </c>
      <c r="M29" s="19">
        <f t="shared" ref="M29:M38" si="20">TIME(HOUR(F29),FLOOR(MINUTE(F29),15),0)</f>
        <v>0.15625</v>
      </c>
      <c r="N29" s="19">
        <f t="shared" ref="N29:N38" si="21">TIME(HOUR(G29),FLOOR(MINUTE(G29),15),0)</f>
        <v>0.16666666666666666</v>
      </c>
      <c r="O29" s="20">
        <f t="shared" ref="O29:O38" si="22">(FLOOR((SECOND(G29-F29)+((MINUTE(G29-F29))*60)+((HOUR(G29-F29))*3600)),300))/60</f>
        <v>10</v>
      </c>
      <c r="P29" s="3">
        <f>IF(B29="Short",((D29-E29)/Lookup!$H$2)*C29*Lookup!$G$2,((E29-D29)/Lookup!$H$2)*C29*Lookup!$G$2)</f>
        <v>100.00000000000287</v>
      </c>
      <c r="Q29" s="26"/>
      <c r="R29" s="27"/>
      <c r="S29" s="26"/>
      <c r="T29" s="26"/>
      <c r="U29" s="26"/>
      <c r="V29" s="6"/>
      <c r="W29" s="2">
        <f>P29/Lookup!$G$2+W28</f>
        <v>26.000000000006029</v>
      </c>
      <c r="X29" s="2">
        <f t="shared" si="4"/>
        <v>26.000000000006029</v>
      </c>
      <c r="Y29" s="5">
        <f>W29/(SUM($C$3:C29))</f>
        <v>0.96296296296318629</v>
      </c>
      <c r="Z29" s="119">
        <f t="shared" ref="Z29:Z38" si="23">IF(P29&lt;=0,IF(P28&lt;=0,P29+Z28,P29),IF(P28&gt;0,P29+Z28,P29))</f>
        <v>231.2500000000023</v>
      </c>
      <c r="AA29" s="113"/>
      <c r="AB29" s="55"/>
    </row>
    <row r="30" spans="1:28" s="8" customFormat="1" ht="12.75" customHeight="1" x14ac:dyDescent="0.2">
      <c r="A30" s="92">
        <v>14</v>
      </c>
      <c r="B30" s="85" t="s">
        <v>19</v>
      </c>
      <c r="C30" s="37">
        <v>1</v>
      </c>
      <c r="D30" s="38">
        <v>1.6605000000000001</v>
      </c>
      <c r="E30" s="38">
        <v>1.6591</v>
      </c>
      <c r="F30" s="39">
        <v>41716.156817129631</v>
      </c>
      <c r="G30" s="39">
        <v>41716.188599537039</v>
      </c>
      <c r="H30" s="45"/>
      <c r="I30" s="102"/>
      <c r="J30" s="98" t="s">
        <v>15</v>
      </c>
      <c r="K30" s="92" t="s">
        <v>21</v>
      </c>
      <c r="L30" s="105">
        <f t="shared" si="19"/>
        <v>3</v>
      </c>
      <c r="M30" s="19">
        <f t="shared" si="20"/>
        <v>0.15625</v>
      </c>
      <c r="N30" s="19">
        <f t="shared" si="21"/>
        <v>0.1875</v>
      </c>
      <c r="O30" s="20">
        <f t="shared" si="22"/>
        <v>45</v>
      </c>
      <c r="P30" s="3">
        <f>IF(B30="Short",((D30-E30)/Lookup!$H$2)*C30*Lookup!$G$2,((E30-D30)/Lookup!$H$2)*C30*Lookup!$G$2)</f>
        <v>87.500000000004235</v>
      </c>
      <c r="Q30" s="26"/>
      <c r="R30" s="27"/>
      <c r="S30" s="26"/>
      <c r="T30" s="26"/>
      <c r="U30" s="26"/>
      <c r="V30" s="6"/>
      <c r="W30" s="2">
        <f>P30/Lookup!$G$2+W29</f>
        <v>40.000000000006708</v>
      </c>
      <c r="X30" s="2">
        <f t="shared" si="4"/>
        <v>40.000000000006708</v>
      </c>
      <c r="Y30" s="5">
        <f>W30/(SUM($C$3:C30))</f>
        <v>1.4285714285716682</v>
      </c>
      <c r="Z30" s="119">
        <f t="shared" si="23"/>
        <v>318.75000000000654</v>
      </c>
      <c r="AA30" s="113"/>
      <c r="AB30" s="55"/>
    </row>
    <row r="31" spans="1:28" s="8" customFormat="1" ht="12.75" customHeight="1" x14ac:dyDescent="0.2">
      <c r="A31" s="92">
        <v>15</v>
      </c>
      <c r="B31" s="85" t="s">
        <v>10</v>
      </c>
      <c r="C31" s="37">
        <v>1</v>
      </c>
      <c r="D31" s="38">
        <v>1.659</v>
      </c>
      <c r="E31" s="38">
        <v>1.6601999999999999</v>
      </c>
      <c r="F31" s="39">
        <v>41717.167731481481</v>
      </c>
      <c r="G31" s="39">
        <v>41717.167731481481</v>
      </c>
      <c r="H31" s="45"/>
      <c r="I31" s="102"/>
      <c r="J31" s="98" t="s">
        <v>15</v>
      </c>
      <c r="K31" s="92" t="s">
        <v>16</v>
      </c>
      <c r="L31" s="105">
        <f t="shared" si="19"/>
        <v>4</v>
      </c>
      <c r="M31" s="19">
        <f t="shared" si="20"/>
        <v>0.16666666666666666</v>
      </c>
      <c r="N31" s="19">
        <f t="shared" si="21"/>
        <v>0.16666666666666666</v>
      </c>
      <c r="O31" s="20">
        <f t="shared" si="22"/>
        <v>0</v>
      </c>
      <c r="P31" s="3">
        <f>IF(B31="Short",((D31-E31)/Lookup!$H$2)*C31*Lookup!$G$2,((E31-D31)/Lookup!$H$2)*C31*Lookup!$G$2)</f>
        <v>74.999999999991743</v>
      </c>
      <c r="Q31" s="26"/>
      <c r="R31" s="27"/>
      <c r="S31" s="26"/>
      <c r="T31" s="26"/>
      <c r="U31" s="26"/>
      <c r="V31" s="6"/>
      <c r="W31" s="2">
        <f>P31/Lookup!$G$2+W30</f>
        <v>52.000000000005386</v>
      </c>
      <c r="X31" s="2">
        <f t="shared" si="4"/>
        <v>52.000000000005386</v>
      </c>
      <c r="Y31" s="5">
        <f>W31/(SUM($C$3:C31))</f>
        <v>1.7931034482760477</v>
      </c>
      <c r="Z31" s="119">
        <f t="shared" si="23"/>
        <v>393.74999999999829</v>
      </c>
      <c r="AA31" s="113"/>
      <c r="AB31" s="55"/>
    </row>
    <row r="32" spans="1:28" s="8" customFormat="1" ht="12.75" customHeight="1" x14ac:dyDescent="0.2">
      <c r="A32" s="92">
        <v>15</v>
      </c>
      <c r="B32" s="85" t="s">
        <v>10</v>
      </c>
      <c r="C32" s="37">
        <v>1</v>
      </c>
      <c r="D32" s="38">
        <v>1.659</v>
      </c>
      <c r="E32" s="38">
        <v>1.6595</v>
      </c>
      <c r="F32" s="39">
        <v>41717.167731481481</v>
      </c>
      <c r="G32" s="39">
        <v>41717.1719212963</v>
      </c>
      <c r="H32" s="45"/>
      <c r="I32" s="102"/>
      <c r="J32" s="98" t="s">
        <v>15</v>
      </c>
      <c r="K32" s="92" t="s">
        <v>21</v>
      </c>
      <c r="L32" s="105">
        <f t="shared" si="19"/>
        <v>4</v>
      </c>
      <c r="M32" s="19">
        <f t="shared" si="20"/>
        <v>0.16666666666666666</v>
      </c>
      <c r="N32" s="19">
        <f t="shared" si="21"/>
        <v>0.16666666666666666</v>
      </c>
      <c r="O32" s="20">
        <f t="shared" si="22"/>
        <v>5</v>
      </c>
      <c r="P32" s="3">
        <f>IF(B32="Short",((D32-E32)/Lookup!$H$2)*C32*Lookup!$G$2,((E32-D32)/Lookup!$H$2)*C32*Lookup!$G$2)</f>
        <v>31.249999999996557</v>
      </c>
      <c r="Q32" s="26"/>
      <c r="R32" s="27"/>
      <c r="S32" s="26"/>
      <c r="T32" s="26"/>
      <c r="U32" s="26"/>
      <c r="V32" s="6"/>
      <c r="W32" s="2">
        <f>P32/Lookup!$G$2+W31</f>
        <v>57.000000000004832</v>
      </c>
      <c r="X32" s="2">
        <f t="shared" si="4"/>
        <v>57.000000000004832</v>
      </c>
      <c r="Y32" s="5">
        <f>W32/(SUM($C$3:C32))</f>
        <v>1.9000000000001611</v>
      </c>
      <c r="Z32" s="119">
        <f t="shared" si="23"/>
        <v>424.99999999999483</v>
      </c>
      <c r="AA32" s="113"/>
      <c r="AB32" s="55"/>
    </row>
    <row r="33" spans="1:28" s="8" customFormat="1" ht="12.75" customHeight="1" x14ac:dyDescent="0.2">
      <c r="A33" s="92">
        <v>16</v>
      </c>
      <c r="B33" s="85" t="s">
        <v>10</v>
      </c>
      <c r="C33" s="37">
        <v>1</v>
      </c>
      <c r="D33" s="38">
        <v>1.6545000000000001</v>
      </c>
      <c r="E33" s="38">
        <v>1.6547000000000001</v>
      </c>
      <c r="F33" s="39">
        <v>41718.171817129631</v>
      </c>
      <c r="G33" s="39">
        <v>41718.202407407407</v>
      </c>
      <c r="H33" s="45"/>
      <c r="I33" s="102"/>
      <c r="J33" s="98" t="s">
        <v>20</v>
      </c>
      <c r="K33" s="92" t="s">
        <v>68</v>
      </c>
      <c r="L33" s="105">
        <f t="shared" si="19"/>
        <v>5</v>
      </c>
      <c r="M33" s="19">
        <f t="shared" si="20"/>
        <v>0.16666666666666666</v>
      </c>
      <c r="N33" s="19">
        <f t="shared" si="21"/>
        <v>0.19791666666666666</v>
      </c>
      <c r="O33" s="20">
        <f t="shared" si="22"/>
        <v>40</v>
      </c>
      <c r="P33" s="3">
        <f>IF(B33="Short",((D33-E33)/Lookup!$H$2)*C33*Lookup!$G$2,((E33-D33)/Lookup!$H$2)*C33*Lookup!$G$2)</f>
        <v>12.499999999998623</v>
      </c>
      <c r="Q33" s="26"/>
      <c r="R33" s="27"/>
      <c r="S33" s="26"/>
      <c r="T33" s="26"/>
      <c r="U33" s="26"/>
      <c r="V33" s="6"/>
      <c r="W33" s="2">
        <f>P33/Lookup!$G$2+W32</f>
        <v>59.000000000004611</v>
      </c>
      <c r="X33" s="2">
        <f t="shared" si="4"/>
        <v>59.000000000004611</v>
      </c>
      <c r="Y33" s="5">
        <f>W33/(SUM($C$3:C33))</f>
        <v>1.9032258064517618</v>
      </c>
      <c r="Z33" s="119">
        <f t="shared" si="23"/>
        <v>437.49999999999346</v>
      </c>
      <c r="AA33" s="113"/>
      <c r="AB33" s="55"/>
    </row>
    <row r="34" spans="1:28" s="8" customFormat="1" ht="12.75" customHeight="1" x14ac:dyDescent="0.2">
      <c r="A34" s="92">
        <v>16</v>
      </c>
      <c r="B34" s="85" t="s">
        <v>10</v>
      </c>
      <c r="C34" s="37">
        <v>1</v>
      </c>
      <c r="D34" s="38">
        <v>1.6545000000000001</v>
      </c>
      <c r="E34" s="38">
        <v>1.6547000000000001</v>
      </c>
      <c r="F34" s="39">
        <v>41718.171817129631</v>
      </c>
      <c r="G34" s="39">
        <v>41718.202407407407</v>
      </c>
      <c r="H34" s="45"/>
      <c r="I34" s="102"/>
      <c r="J34" s="98" t="s">
        <v>20</v>
      </c>
      <c r="K34" s="92" t="s">
        <v>68</v>
      </c>
      <c r="L34" s="105">
        <f t="shared" si="19"/>
        <v>5</v>
      </c>
      <c r="M34" s="19">
        <f t="shared" si="20"/>
        <v>0.16666666666666666</v>
      </c>
      <c r="N34" s="19">
        <f t="shared" si="21"/>
        <v>0.19791666666666666</v>
      </c>
      <c r="O34" s="20">
        <f t="shared" si="22"/>
        <v>40</v>
      </c>
      <c r="P34" s="3">
        <f>IF(B34="Short",((D34-E34)/Lookup!$H$2)*C34*Lookup!$G$2,((E34-D34)/Lookup!$H$2)*C34*Lookup!$G$2)</f>
        <v>12.499999999998623</v>
      </c>
      <c r="Q34" s="26"/>
      <c r="R34" s="27"/>
      <c r="S34" s="26"/>
      <c r="T34" s="26"/>
      <c r="U34" s="26"/>
      <c r="V34" s="6"/>
      <c r="W34" s="2">
        <f>P34/Lookup!$G$2+W33</f>
        <v>61.000000000004391</v>
      </c>
      <c r="X34" s="2">
        <f t="shared" si="4"/>
        <v>61.000000000004391</v>
      </c>
      <c r="Y34" s="5">
        <f>W34/(SUM($C$3:C34))</f>
        <v>1.9062500000001372</v>
      </c>
      <c r="Z34" s="119">
        <f t="shared" si="23"/>
        <v>449.9999999999921</v>
      </c>
      <c r="AA34" s="113"/>
      <c r="AB34" s="55"/>
    </row>
    <row r="35" spans="1:28" s="8" customFormat="1" ht="12.75" customHeight="1" x14ac:dyDescent="0.2">
      <c r="A35" s="92">
        <v>17</v>
      </c>
      <c r="B35" s="85" t="s">
        <v>19</v>
      </c>
      <c r="C35" s="37">
        <v>1</v>
      </c>
      <c r="D35" s="38">
        <v>1.6528</v>
      </c>
      <c r="E35" s="38">
        <v>1.6514</v>
      </c>
      <c r="F35" s="39">
        <v>41718.250439814816</v>
      </c>
      <c r="G35" s="39">
        <v>41718.270613425928</v>
      </c>
      <c r="H35" s="45"/>
      <c r="I35" s="102"/>
      <c r="J35" s="98" t="s">
        <v>27</v>
      </c>
      <c r="K35" s="92" t="s">
        <v>16</v>
      </c>
      <c r="L35" s="105">
        <f t="shared" si="19"/>
        <v>5</v>
      </c>
      <c r="M35" s="19">
        <f t="shared" si="20"/>
        <v>0.25</v>
      </c>
      <c r="N35" s="19">
        <f t="shared" si="21"/>
        <v>0.26041666666666669</v>
      </c>
      <c r="O35" s="20">
        <f t="shared" si="22"/>
        <v>25</v>
      </c>
      <c r="P35" s="3">
        <f>IF(B35="Short",((D35-E35)/Lookup!$H$2)*C35*Lookup!$G$2,((E35-D35)/Lookup!$H$2)*C35*Lookup!$G$2)</f>
        <v>87.500000000004235</v>
      </c>
      <c r="Q35" s="26"/>
      <c r="R35" s="27"/>
      <c r="S35" s="26"/>
      <c r="T35" s="26"/>
      <c r="U35" s="26"/>
      <c r="V35" s="6"/>
      <c r="W35" s="2">
        <f>P35/Lookup!$G$2+W34</f>
        <v>75.000000000005073</v>
      </c>
      <c r="X35" s="2">
        <f t="shared" si="4"/>
        <v>75.000000000005073</v>
      </c>
      <c r="Y35" s="5">
        <f>W35/(SUM($C$3:C35))</f>
        <v>2.2727272727274266</v>
      </c>
      <c r="Z35" s="119">
        <f t="shared" si="23"/>
        <v>537.49999999999636</v>
      </c>
      <c r="AA35" s="113"/>
      <c r="AB35" s="55"/>
    </row>
    <row r="36" spans="1:28" s="8" customFormat="1" ht="12.75" customHeight="1" x14ac:dyDescent="0.2">
      <c r="A36" s="92">
        <v>17</v>
      </c>
      <c r="B36" s="85" t="s">
        <v>19</v>
      </c>
      <c r="C36" s="37">
        <v>1</v>
      </c>
      <c r="D36" s="38">
        <v>1.6528</v>
      </c>
      <c r="E36" s="38">
        <v>1.6518999999999999</v>
      </c>
      <c r="F36" s="39">
        <v>41718.250439814816</v>
      </c>
      <c r="G36" s="39">
        <v>41718.276574074072</v>
      </c>
      <c r="H36" s="45"/>
      <c r="I36" s="102"/>
      <c r="J36" s="98" t="s">
        <v>27</v>
      </c>
      <c r="K36" s="92" t="s">
        <v>21</v>
      </c>
      <c r="L36" s="105">
        <f t="shared" si="19"/>
        <v>5</v>
      </c>
      <c r="M36" s="19">
        <f t="shared" si="20"/>
        <v>0.25</v>
      </c>
      <c r="N36" s="19">
        <f t="shared" si="21"/>
        <v>0.27083333333333331</v>
      </c>
      <c r="O36" s="20">
        <f t="shared" si="22"/>
        <v>35</v>
      </c>
      <c r="P36" s="3">
        <f>IF(B36="Short",((D36-E36)/Lookup!$H$2)*C36*Lookup!$G$2,((E36-D36)/Lookup!$H$2)*C36*Lookup!$G$2)</f>
        <v>56.250000000007681</v>
      </c>
      <c r="Q36" s="26"/>
      <c r="R36" s="27"/>
      <c r="S36" s="26"/>
      <c r="T36" s="26"/>
      <c r="U36" s="26"/>
      <c r="V36" s="6"/>
      <c r="W36" s="2">
        <f>P36/Lookup!$G$2+W35</f>
        <v>84.00000000000631</v>
      </c>
      <c r="X36" s="2">
        <f t="shared" si="4"/>
        <v>84.00000000000631</v>
      </c>
      <c r="Y36" s="5">
        <f>W36/(SUM($C$3:C36))</f>
        <v>2.4705882352943034</v>
      </c>
      <c r="Z36" s="119">
        <f t="shared" si="23"/>
        <v>593.75000000000409</v>
      </c>
      <c r="AA36" s="113"/>
      <c r="AB36" s="55"/>
    </row>
    <row r="37" spans="1:28" s="8" customFormat="1" ht="12.75" customHeight="1" x14ac:dyDescent="0.2">
      <c r="A37" s="92">
        <v>18</v>
      </c>
      <c r="B37" s="85" t="s">
        <v>19</v>
      </c>
      <c r="C37" s="37">
        <v>1</v>
      </c>
      <c r="D37" s="38">
        <v>1.649</v>
      </c>
      <c r="E37" s="38">
        <v>1.6472</v>
      </c>
      <c r="F37" s="39">
        <v>41719.133645833332</v>
      </c>
      <c r="G37" s="39">
        <v>41719.166863425926</v>
      </c>
      <c r="H37" s="45"/>
      <c r="I37" s="102"/>
      <c r="J37" s="98" t="s">
        <v>15</v>
      </c>
      <c r="K37" s="92" t="s">
        <v>16</v>
      </c>
      <c r="L37" s="105">
        <f t="shared" si="19"/>
        <v>6</v>
      </c>
      <c r="M37" s="19">
        <f t="shared" si="20"/>
        <v>0.125</v>
      </c>
      <c r="N37" s="19">
        <f t="shared" si="21"/>
        <v>0.16666666666666666</v>
      </c>
      <c r="O37" s="20">
        <f t="shared" si="22"/>
        <v>45</v>
      </c>
      <c r="P37" s="3">
        <f>IF(B37="Short",((D37-E37)/Lookup!$H$2)*C37*Lookup!$G$2,((E37-D37)/Lookup!$H$2)*C37*Lookup!$G$2)</f>
        <v>112.50000000000149</v>
      </c>
      <c r="Q37" s="26"/>
      <c r="R37" s="27"/>
      <c r="S37" s="26"/>
      <c r="T37" s="26"/>
      <c r="U37" s="26"/>
      <c r="V37" s="6"/>
      <c r="W37" s="2">
        <f>P37/Lookup!$G$2+W36</f>
        <v>102.00000000000655</v>
      </c>
      <c r="X37" s="2">
        <f t="shared" si="4"/>
        <v>102.00000000000655</v>
      </c>
      <c r="Y37" s="5">
        <f>W37/(SUM($C$3:C37))</f>
        <v>2.9142857142859016</v>
      </c>
      <c r="Z37" s="119">
        <f t="shared" si="23"/>
        <v>706.25000000000557</v>
      </c>
      <c r="AA37" s="113"/>
      <c r="AB37" s="55"/>
    </row>
    <row r="38" spans="1:28" s="8" customFormat="1" ht="12.75" customHeight="1" x14ac:dyDescent="0.2">
      <c r="A38" s="92">
        <v>18</v>
      </c>
      <c r="B38" s="85" t="s">
        <v>19</v>
      </c>
      <c r="C38" s="37">
        <v>1</v>
      </c>
      <c r="D38" s="38">
        <v>1.649</v>
      </c>
      <c r="E38" s="38">
        <v>1.6475</v>
      </c>
      <c r="F38" s="39">
        <v>41719.133645833332</v>
      </c>
      <c r="G38" s="39">
        <v>41719.192407407405</v>
      </c>
      <c r="H38" s="45"/>
      <c r="I38" s="102"/>
      <c r="J38" s="98" t="s">
        <v>15</v>
      </c>
      <c r="K38" s="92" t="s">
        <v>21</v>
      </c>
      <c r="L38" s="105">
        <f t="shared" si="19"/>
        <v>6</v>
      </c>
      <c r="M38" s="19">
        <f t="shared" si="20"/>
        <v>0.125</v>
      </c>
      <c r="N38" s="19">
        <f t="shared" si="21"/>
        <v>0.1875</v>
      </c>
      <c r="O38" s="20">
        <f t="shared" si="22"/>
        <v>80</v>
      </c>
      <c r="P38" s="3">
        <f>IF(B38="Short",((D38-E38)/Lookup!$H$2)*C38*Lookup!$G$2,((E38-D38)/Lookup!$H$2)*C38*Lookup!$G$2)</f>
        <v>93.750000000003553</v>
      </c>
      <c r="Q38" s="26"/>
      <c r="R38" s="27"/>
      <c r="S38" s="26"/>
      <c r="T38" s="26"/>
      <c r="U38" s="26"/>
      <c r="V38" s="6"/>
      <c r="W38" s="2">
        <f>P38/Lookup!$G$2+W37</f>
        <v>117.00000000000712</v>
      </c>
      <c r="X38" s="2">
        <f t="shared" si="4"/>
        <v>117.00000000000712</v>
      </c>
      <c r="Y38" s="5">
        <f>W38/(SUM($C$3:C38))</f>
        <v>3.2500000000001976</v>
      </c>
      <c r="Z38" s="119">
        <f t="shared" si="23"/>
        <v>800.00000000000909</v>
      </c>
      <c r="AA38" s="113"/>
      <c r="AB38" s="55"/>
    </row>
    <row r="39" spans="1:28" s="8" customFormat="1" ht="12.75" customHeight="1" x14ac:dyDescent="0.2">
      <c r="A39" s="92">
        <v>19</v>
      </c>
      <c r="B39" s="85" t="s">
        <v>10</v>
      </c>
      <c r="C39" s="37">
        <v>1</v>
      </c>
      <c r="D39" s="38">
        <v>1.6494</v>
      </c>
      <c r="E39" s="38">
        <v>1.6476999999999999</v>
      </c>
      <c r="F39" s="39">
        <v>41722.166666666664</v>
      </c>
      <c r="G39" s="39">
        <v>41722.206678240742</v>
      </c>
      <c r="H39" s="45"/>
      <c r="I39" s="102"/>
      <c r="J39" s="98" t="s">
        <v>20</v>
      </c>
      <c r="K39" s="92" t="s">
        <v>23</v>
      </c>
      <c r="L39" s="105">
        <f t="shared" ref="L39:L42" si="24">WEEKDAY(F39)</f>
        <v>2</v>
      </c>
      <c r="M39" s="19">
        <f t="shared" ref="M39:M42" si="25">TIME(HOUR(F39),FLOOR(MINUTE(F39),15),0)</f>
        <v>0.16666666666666666</v>
      </c>
      <c r="N39" s="19">
        <f t="shared" ref="N39:N42" si="26">TIME(HOUR(G39),FLOOR(MINUTE(G39),15),0)</f>
        <v>0.19791666666666666</v>
      </c>
      <c r="O39" s="20">
        <f t="shared" ref="O39:O42" si="27">(FLOOR((SECOND(G39-F39)+((MINUTE(G39-F39))*60)+((HOUR(G39-F39))*3600)),300))/60</f>
        <v>55</v>
      </c>
      <c r="P39" s="3">
        <f>IF(B39="Short",((D39-E39)/Lookup!$H$2)*C39*Lookup!$G$2,((E39-D39)/Lookup!$H$2)*C39*Lookup!$G$2)</f>
        <v>-106.25000000000217</v>
      </c>
      <c r="Q39" s="26"/>
      <c r="R39" s="27"/>
      <c r="S39" s="26"/>
      <c r="T39" s="26"/>
      <c r="U39" s="26"/>
      <c r="V39" s="6"/>
      <c r="W39" s="2">
        <f>P39/Lookup!$G$2+W38</f>
        <v>100.00000000000676</v>
      </c>
      <c r="X39" s="2">
        <f t="shared" ref="X39:X42" si="28">W39</f>
        <v>100.00000000000676</v>
      </c>
      <c r="Y39" s="5">
        <f>W39/(SUM($C$3:C39))</f>
        <v>2.7027027027028856</v>
      </c>
      <c r="Z39" s="119">
        <f t="shared" ref="Z39:Z42" si="29">IF(P39&lt;=0,IF(P38&lt;=0,P39+Z38,P39),IF(P38&gt;0,P39+Z38,P39))</f>
        <v>-106.25000000000217</v>
      </c>
      <c r="AA39" s="113"/>
      <c r="AB39" s="55"/>
    </row>
    <row r="40" spans="1:28" s="8" customFormat="1" ht="12.75" customHeight="1" x14ac:dyDescent="0.2">
      <c r="A40" s="92">
        <v>19</v>
      </c>
      <c r="B40" s="85" t="s">
        <v>10</v>
      </c>
      <c r="C40" s="37">
        <v>1</v>
      </c>
      <c r="D40" s="38">
        <v>1.6494</v>
      </c>
      <c r="E40" s="38">
        <v>1.6476999999999999</v>
      </c>
      <c r="F40" s="39">
        <v>41722.166666666664</v>
      </c>
      <c r="G40" s="39">
        <v>41722.206678240742</v>
      </c>
      <c r="H40" s="45"/>
      <c r="I40" s="102"/>
      <c r="J40" s="98" t="s">
        <v>20</v>
      </c>
      <c r="K40" s="92" t="s">
        <v>23</v>
      </c>
      <c r="L40" s="105">
        <f t="shared" si="24"/>
        <v>2</v>
      </c>
      <c r="M40" s="19">
        <f t="shared" si="25"/>
        <v>0.16666666666666666</v>
      </c>
      <c r="N40" s="19">
        <f t="shared" si="26"/>
        <v>0.19791666666666666</v>
      </c>
      <c r="O40" s="20">
        <f t="shared" si="27"/>
        <v>55</v>
      </c>
      <c r="P40" s="3">
        <f>IF(B40="Short",((D40-E40)/Lookup!$H$2)*C40*Lookup!$G$2,((E40-D40)/Lookup!$H$2)*C40*Lookup!$G$2)</f>
        <v>-106.25000000000217</v>
      </c>
      <c r="Q40" s="26"/>
      <c r="R40" s="27"/>
      <c r="S40" s="26"/>
      <c r="T40" s="26"/>
      <c r="U40" s="26"/>
      <c r="V40" s="6"/>
      <c r="W40" s="2">
        <f>P40/Lookup!$G$2+W39</f>
        <v>83.000000000006423</v>
      </c>
      <c r="X40" s="2">
        <f t="shared" si="28"/>
        <v>83.000000000006423</v>
      </c>
      <c r="Y40" s="5">
        <f>W40/(SUM($C$3:C40))</f>
        <v>2.1842105263159586</v>
      </c>
      <c r="Z40" s="119">
        <f t="shared" si="29"/>
        <v>-212.50000000000435</v>
      </c>
      <c r="AA40" s="113"/>
      <c r="AB40" s="55"/>
    </row>
    <row r="41" spans="1:28" s="8" customFormat="1" ht="12.75" customHeight="1" x14ac:dyDescent="0.2">
      <c r="A41" s="92">
        <v>20</v>
      </c>
      <c r="B41" s="85" t="s">
        <v>19</v>
      </c>
      <c r="C41" s="37">
        <v>1</v>
      </c>
      <c r="D41" s="38">
        <v>1.6476</v>
      </c>
      <c r="E41" s="38">
        <v>1.6493</v>
      </c>
      <c r="F41" s="39">
        <v>41723.157199074078</v>
      </c>
      <c r="G41" s="39">
        <v>41723.229351851849</v>
      </c>
      <c r="H41" s="45"/>
      <c r="I41" s="102"/>
      <c r="J41" s="96" t="s">
        <v>48</v>
      </c>
      <c r="K41" s="92" t="s">
        <v>23</v>
      </c>
      <c r="L41" s="105">
        <f t="shared" si="24"/>
        <v>3</v>
      </c>
      <c r="M41" s="19">
        <f t="shared" si="25"/>
        <v>0.15625</v>
      </c>
      <c r="N41" s="19">
        <f t="shared" si="26"/>
        <v>0.22916666666666666</v>
      </c>
      <c r="O41" s="20">
        <f t="shared" si="27"/>
        <v>100</v>
      </c>
      <c r="P41" s="3">
        <f>IF(B41="Short",((D41-E41)/Lookup!$H$2)*C41*Lookup!$G$2,((E41-D41)/Lookup!$H$2)*C41*Lookup!$G$2)</f>
        <v>-106.25000000000217</v>
      </c>
      <c r="Q41" s="26"/>
      <c r="R41" s="27"/>
      <c r="S41" s="26"/>
      <c r="T41" s="26"/>
      <c r="U41" s="26"/>
      <c r="V41" s="6"/>
      <c r="W41" s="2">
        <f>P41/Lookup!$G$2+W40</f>
        <v>66.000000000006082</v>
      </c>
      <c r="X41" s="2">
        <f t="shared" si="28"/>
        <v>66.000000000006082</v>
      </c>
      <c r="Y41" s="5">
        <f>W41/(SUM($C$3:C41))</f>
        <v>1.6923076923078482</v>
      </c>
      <c r="Z41" s="119">
        <f t="shared" si="29"/>
        <v>-318.75000000000654</v>
      </c>
      <c r="AA41" s="113"/>
      <c r="AB41" s="55"/>
    </row>
    <row r="42" spans="1:28" s="8" customFormat="1" ht="12.75" customHeight="1" x14ac:dyDescent="0.2">
      <c r="A42" s="92">
        <v>20</v>
      </c>
      <c r="B42" s="85" t="s">
        <v>19</v>
      </c>
      <c r="C42" s="37">
        <v>1</v>
      </c>
      <c r="D42" s="38">
        <v>1.6476</v>
      </c>
      <c r="E42" s="38">
        <v>1.6493</v>
      </c>
      <c r="F42" s="39">
        <v>41723.157199074078</v>
      </c>
      <c r="G42" s="39">
        <v>41723.229351851849</v>
      </c>
      <c r="H42" s="45"/>
      <c r="I42" s="102"/>
      <c r="J42" s="96" t="s">
        <v>48</v>
      </c>
      <c r="K42" s="92" t="s">
        <v>23</v>
      </c>
      <c r="L42" s="105">
        <f t="shared" si="24"/>
        <v>3</v>
      </c>
      <c r="M42" s="19">
        <f t="shared" si="25"/>
        <v>0.15625</v>
      </c>
      <c r="N42" s="19">
        <f t="shared" si="26"/>
        <v>0.22916666666666666</v>
      </c>
      <c r="O42" s="20">
        <f t="shared" si="27"/>
        <v>100</v>
      </c>
      <c r="P42" s="3">
        <f>IF(B42="Short",((D42-E42)/Lookup!$H$2)*C42*Lookup!$G$2,((E42-D42)/Lookup!$H$2)*C42*Lookup!$G$2)</f>
        <v>-106.25000000000217</v>
      </c>
      <c r="Q42" s="26"/>
      <c r="R42" s="27"/>
      <c r="S42" s="26"/>
      <c r="T42" s="26"/>
      <c r="U42" s="26"/>
      <c r="V42" s="6"/>
      <c r="W42" s="2">
        <f>P42/Lookup!$G$2+W41</f>
        <v>49.000000000005734</v>
      </c>
      <c r="X42" s="2">
        <f t="shared" si="28"/>
        <v>49.000000000005734</v>
      </c>
      <c r="Y42" s="5">
        <f>W42/(SUM($C$3:C42))</f>
        <v>1.2250000000001433</v>
      </c>
      <c r="Z42" s="119">
        <f t="shared" si="29"/>
        <v>-425.0000000000087</v>
      </c>
      <c r="AA42" s="113"/>
      <c r="AB42" s="55"/>
    </row>
    <row r="43" spans="1:28" s="8" customFormat="1" ht="12.75" customHeight="1" x14ac:dyDescent="0.2">
      <c r="A43" s="92">
        <v>21</v>
      </c>
      <c r="B43" s="85" t="s">
        <v>10</v>
      </c>
      <c r="C43" s="37">
        <v>1</v>
      </c>
      <c r="D43" s="38">
        <v>1.6536</v>
      </c>
      <c r="E43" s="38">
        <v>1.6536999999999999</v>
      </c>
      <c r="F43" s="39">
        <v>41724.169710648152</v>
      </c>
      <c r="G43" s="39">
        <v>41724.175439814811</v>
      </c>
      <c r="H43" s="45"/>
      <c r="I43" s="102"/>
      <c r="J43" s="96" t="s">
        <v>15</v>
      </c>
      <c r="K43" s="92" t="s">
        <v>26</v>
      </c>
      <c r="L43" s="105">
        <f t="shared" ref="L43:L64" si="30">WEEKDAY(F43)</f>
        <v>4</v>
      </c>
      <c r="M43" s="19">
        <f t="shared" ref="M43:M64" si="31">TIME(HOUR(F43),FLOOR(MINUTE(F43),15),0)</f>
        <v>0.16666666666666666</v>
      </c>
      <c r="N43" s="19">
        <f t="shared" ref="N43:N64" si="32">TIME(HOUR(G43),FLOOR(MINUTE(G43),15),0)</f>
        <v>0.16666666666666666</v>
      </c>
      <c r="O43" s="20">
        <f t="shared" ref="O43:O64" si="33">(FLOOR((SECOND(G43-F43)+((MINUTE(G43-F43))*60)+((HOUR(G43-F43))*3600)),300))/60</f>
        <v>5</v>
      </c>
      <c r="P43" s="3">
        <f>IF(B43="Short",((D43-E43)/Lookup!$H$2)*C43*Lookup!$G$2,((E43-D43)/Lookup!$H$2)*C43*Lookup!$G$2)</f>
        <v>6.2499999999993117</v>
      </c>
      <c r="Q43" s="26"/>
      <c r="R43" s="27"/>
      <c r="S43" s="26"/>
      <c r="T43" s="26"/>
      <c r="U43" s="26"/>
      <c r="V43" s="6"/>
      <c r="W43" s="2">
        <f>P43/Lookup!$G$2+W42</f>
        <v>50.000000000005627</v>
      </c>
      <c r="X43" s="2">
        <f t="shared" ref="X43:X64" si="34">W43</f>
        <v>50.000000000005627</v>
      </c>
      <c r="Y43" s="5">
        <f>W43/(SUM($C$3:C43))</f>
        <v>1.2195121951220884</v>
      </c>
      <c r="Z43" s="119">
        <f t="shared" ref="Z43:Z64" si="35">IF(P43&lt;=0,IF(P42&lt;=0,P43+Z42,P43),IF(P42&gt;0,P43+Z42,P43))</f>
        <v>6.2499999999993117</v>
      </c>
      <c r="AA43" s="113"/>
      <c r="AB43" s="55"/>
    </row>
    <row r="44" spans="1:28" s="8" customFormat="1" ht="12.75" customHeight="1" x14ac:dyDescent="0.2">
      <c r="A44" s="92">
        <v>21</v>
      </c>
      <c r="B44" s="85" t="s">
        <v>10</v>
      </c>
      <c r="C44" s="37">
        <v>1</v>
      </c>
      <c r="D44" s="38">
        <v>1.6536</v>
      </c>
      <c r="E44" s="38">
        <v>1.6536999999999999</v>
      </c>
      <c r="F44" s="39">
        <v>41724.169710648152</v>
      </c>
      <c r="G44" s="39">
        <v>41724.175439814811</v>
      </c>
      <c r="H44" s="45"/>
      <c r="I44" s="102"/>
      <c r="J44" s="96" t="s">
        <v>15</v>
      </c>
      <c r="K44" s="92" t="s">
        <v>26</v>
      </c>
      <c r="L44" s="105">
        <f t="shared" si="30"/>
        <v>4</v>
      </c>
      <c r="M44" s="19">
        <f t="shared" si="31"/>
        <v>0.16666666666666666</v>
      </c>
      <c r="N44" s="19">
        <f t="shared" si="32"/>
        <v>0.16666666666666666</v>
      </c>
      <c r="O44" s="20">
        <f t="shared" si="33"/>
        <v>5</v>
      </c>
      <c r="P44" s="3">
        <f>IF(B44="Short",((D44-E44)/Lookup!$H$2)*C44*Lookup!$G$2,((E44-D44)/Lookup!$H$2)*C44*Lookup!$G$2)</f>
        <v>6.2499999999993117</v>
      </c>
      <c r="Q44" s="26"/>
      <c r="R44" s="27"/>
      <c r="S44" s="26"/>
      <c r="T44" s="26"/>
      <c r="U44" s="26"/>
      <c r="V44" s="6"/>
      <c r="W44" s="2">
        <f>P44/Lookup!$G$2+W43</f>
        <v>51.000000000005514</v>
      </c>
      <c r="X44" s="2">
        <f t="shared" si="34"/>
        <v>51.000000000005514</v>
      </c>
      <c r="Y44" s="5">
        <f>W44/(SUM($C$3:C44))</f>
        <v>1.2142857142858456</v>
      </c>
      <c r="Z44" s="119">
        <f t="shared" si="35"/>
        <v>12.499999999998623</v>
      </c>
      <c r="AA44" s="113"/>
      <c r="AB44" s="55"/>
    </row>
    <row r="45" spans="1:28" s="8" customFormat="1" ht="12.75" customHeight="1" x14ac:dyDescent="0.2">
      <c r="A45" s="92">
        <v>22</v>
      </c>
      <c r="B45" s="85" t="s">
        <v>10</v>
      </c>
      <c r="C45" s="37">
        <v>1</v>
      </c>
      <c r="D45" s="38">
        <v>1.6564000000000001</v>
      </c>
      <c r="E45" s="38">
        <v>1.6578999999999999</v>
      </c>
      <c r="F45" s="39">
        <v>41725.223043981481</v>
      </c>
      <c r="G45" s="39">
        <v>41725.229166666664</v>
      </c>
      <c r="H45" s="45"/>
      <c r="I45" s="102"/>
      <c r="J45" s="96" t="s">
        <v>48</v>
      </c>
      <c r="K45" s="92" t="s">
        <v>16</v>
      </c>
      <c r="L45" s="105">
        <f t="shared" si="30"/>
        <v>5</v>
      </c>
      <c r="M45" s="19">
        <f t="shared" si="31"/>
        <v>0.21875</v>
      </c>
      <c r="N45" s="19">
        <f t="shared" si="32"/>
        <v>0.22916666666666666</v>
      </c>
      <c r="O45" s="20">
        <f t="shared" si="33"/>
        <v>5</v>
      </c>
      <c r="P45" s="3">
        <f>IF(B45="Short",((D45-E45)/Lookup!$H$2)*C45*Lookup!$G$2,((E45-D45)/Lookup!$H$2)*C45*Lookup!$G$2)</f>
        <v>93.749999999989669</v>
      </c>
      <c r="Q45" s="26"/>
      <c r="R45" s="27"/>
      <c r="S45" s="26"/>
      <c r="T45" s="26"/>
      <c r="U45" s="26"/>
      <c r="V45" s="6"/>
      <c r="W45" s="2">
        <f>P45/Lookup!$G$2+W44</f>
        <v>66.000000000003865</v>
      </c>
      <c r="X45" s="2">
        <f t="shared" si="34"/>
        <v>66.000000000003865</v>
      </c>
      <c r="Y45" s="5">
        <f>W45/(SUM($C$3:C45))</f>
        <v>1.5348837209303225</v>
      </c>
      <c r="Z45" s="119">
        <f t="shared" si="35"/>
        <v>106.24999999998829</v>
      </c>
      <c r="AA45" s="113"/>
      <c r="AB45" s="55"/>
    </row>
    <row r="46" spans="1:28" s="8" customFormat="1" ht="12.75" customHeight="1" x14ac:dyDescent="0.2">
      <c r="A46" s="92">
        <v>22</v>
      </c>
      <c r="B46" s="85" t="s">
        <v>10</v>
      </c>
      <c r="C46" s="37">
        <v>1</v>
      </c>
      <c r="D46" s="38">
        <v>1.6564000000000001</v>
      </c>
      <c r="E46" s="38">
        <v>1.6608000000000001</v>
      </c>
      <c r="F46" s="39">
        <v>41725.223043981481</v>
      </c>
      <c r="G46" s="39">
        <v>41725.22934027778</v>
      </c>
      <c r="H46" s="45"/>
      <c r="I46" s="102"/>
      <c r="J46" s="96" t="s">
        <v>48</v>
      </c>
      <c r="K46" s="92" t="s">
        <v>21</v>
      </c>
      <c r="L46" s="105">
        <f t="shared" si="30"/>
        <v>5</v>
      </c>
      <c r="M46" s="19">
        <f t="shared" si="31"/>
        <v>0.21875</v>
      </c>
      <c r="N46" s="19">
        <f t="shared" si="32"/>
        <v>0.22916666666666666</v>
      </c>
      <c r="O46" s="20">
        <f t="shared" si="33"/>
        <v>5</v>
      </c>
      <c r="P46" s="3">
        <f>IF(B46="Short",((D46-E46)/Lookup!$H$2)*C46*Lookup!$G$2,((E46-D46)/Lookup!$H$2)*C46*Lookup!$G$2)</f>
        <v>274.99999999999744</v>
      </c>
      <c r="Q46" s="26"/>
      <c r="R46" s="27"/>
      <c r="S46" s="26"/>
      <c r="T46" s="26"/>
      <c r="U46" s="26"/>
      <c r="V46" s="6"/>
      <c r="W46" s="2">
        <f>P46/Lookup!$G$2+W45</f>
        <v>110.00000000000345</v>
      </c>
      <c r="X46" s="2">
        <f t="shared" si="34"/>
        <v>110.00000000000345</v>
      </c>
      <c r="Y46" s="5">
        <f>W46/(SUM($C$3:C46))</f>
        <v>2.5000000000000786</v>
      </c>
      <c r="Z46" s="119">
        <f t="shared" si="35"/>
        <v>381.24999999998573</v>
      </c>
      <c r="AA46" s="113"/>
      <c r="AB46" s="55"/>
    </row>
    <row r="47" spans="1:28" ht="12.75" customHeight="1" x14ac:dyDescent="0.2">
      <c r="A47" s="92">
        <v>23</v>
      </c>
      <c r="B47" s="85" t="s">
        <v>19</v>
      </c>
      <c r="C47" s="37">
        <v>1</v>
      </c>
      <c r="D47" s="38">
        <v>1.6617</v>
      </c>
      <c r="E47" s="38">
        <v>1.6628000000000001</v>
      </c>
      <c r="F47" s="39">
        <v>41729.198819444442</v>
      </c>
      <c r="G47" s="39">
        <v>41729.208333333336</v>
      </c>
      <c r="H47" s="45"/>
      <c r="I47" s="102"/>
      <c r="J47" s="96" t="s">
        <v>27</v>
      </c>
      <c r="K47" s="92" t="s">
        <v>23</v>
      </c>
      <c r="L47" s="105">
        <f t="shared" si="30"/>
        <v>2</v>
      </c>
      <c r="M47" s="19">
        <f t="shared" si="31"/>
        <v>0.19791666666666666</v>
      </c>
      <c r="N47" s="19">
        <f t="shared" si="32"/>
        <v>0.20833333333333334</v>
      </c>
      <c r="O47" s="20">
        <f t="shared" si="33"/>
        <v>10</v>
      </c>
      <c r="P47" s="3">
        <f>IF(B47="Short",((D47-E47)/Lookup!$H$2)*C47*Lookup!$G$2,((E47-D47)/Lookup!$H$2)*C47*Lookup!$G$2)</f>
        <v>-68.75000000000631</v>
      </c>
      <c r="Q47" s="26"/>
      <c r="R47" s="27"/>
      <c r="S47" s="26"/>
      <c r="T47" s="26"/>
      <c r="U47" s="26"/>
      <c r="V47" s="6"/>
      <c r="W47" s="2">
        <f>P47/Lookup!$G$2+W46</f>
        <v>99.000000000002444</v>
      </c>
      <c r="X47" s="2">
        <f t="shared" si="34"/>
        <v>99.000000000002444</v>
      </c>
      <c r="Y47" s="5">
        <f>W47/(SUM($C$3:C47))</f>
        <v>2.2000000000000544</v>
      </c>
      <c r="Z47" s="119">
        <f t="shared" si="35"/>
        <v>-68.75000000000631</v>
      </c>
      <c r="AA47" s="113"/>
      <c r="AB47" s="55"/>
    </row>
    <row r="48" spans="1:28" ht="12.75" customHeight="1" x14ac:dyDescent="0.2">
      <c r="A48" s="92">
        <v>23</v>
      </c>
      <c r="B48" s="85" t="s">
        <v>19</v>
      </c>
      <c r="C48" s="37">
        <v>1</v>
      </c>
      <c r="D48" s="38">
        <v>1.6617</v>
      </c>
      <c r="E48" s="38">
        <v>1.6628000000000001</v>
      </c>
      <c r="F48" s="39">
        <v>41729.198819444442</v>
      </c>
      <c r="G48" s="39">
        <v>41729.208333333336</v>
      </c>
      <c r="H48" s="45"/>
      <c r="I48" s="102"/>
      <c r="J48" s="96" t="s">
        <v>27</v>
      </c>
      <c r="K48" s="92" t="s">
        <v>23</v>
      </c>
      <c r="L48" s="105">
        <f t="shared" si="30"/>
        <v>2</v>
      </c>
      <c r="M48" s="19">
        <f t="shared" si="31"/>
        <v>0.19791666666666666</v>
      </c>
      <c r="N48" s="19">
        <f t="shared" si="32"/>
        <v>0.20833333333333334</v>
      </c>
      <c r="O48" s="20">
        <f t="shared" si="33"/>
        <v>10</v>
      </c>
      <c r="P48" s="3">
        <f>IF(B48="Short",((D48-E48)/Lookup!$H$2)*C48*Lookup!$G$2,((E48-D48)/Lookup!$H$2)*C48*Lookup!$G$2)</f>
        <v>-68.75000000000631</v>
      </c>
      <c r="Q48" s="26"/>
      <c r="R48" s="27"/>
      <c r="S48" s="26"/>
      <c r="T48" s="26"/>
      <c r="U48" s="26"/>
      <c r="V48" s="6"/>
      <c r="W48" s="2">
        <f>P48/Lookup!$G$2+W47</f>
        <v>88.000000000001435</v>
      </c>
      <c r="X48" s="2">
        <f t="shared" si="34"/>
        <v>88.000000000001435</v>
      </c>
      <c r="Y48" s="5">
        <f>W48/(SUM($C$3:C48))</f>
        <v>1.9130434782609007</v>
      </c>
      <c r="Z48" s="119">
        <f t="shared" si="35"/>
        <v>-137.50000000001262</v>
      </c>
      <c r="AA48" s="113"/>
      <c r="AB48" s="55"/>
    </row>
    <row r="49" spans="1:28" ht="12.75" customHeight="1" x14ac:dyDescent="0.2">
      <c r="A49" s="92">
        <v>24</v>
      </c>
      <c r="B49" s="85" t="s">
        <v>19</v>
      </c>
      <c r="C49" s="37">
        <v>1</v>
      </c>
      <c r="D49" s="38">
        <v>1.6631</v>
      </c>
      <c r="E49" s="38">
        <v>1.6641999999999999</v>
      </c>
      <c r="F49" s="39">
        <v>41730.208981481483</v>
      </c>
      <c r="G49" s="39">
        <v>41730.216412037036</v>
      </c>
      <c r="H49" s="45"/>
      <c r="I49" s="102"/>
      <c r="J49" s="96" t="s">
        <v>20</v>
      </c>
      <c r="K49" s="92" t="s">
        <v>23</v>
      </c>
      <c r="L49" s="105">
        <f t="shared" si="30"/>
        <v>3</v>
      </c>
      <c r="M49" s="19">
        <f t="shared" si="31"/>
        <v>0.20833333333333334</v>
      </c>
      <c r="N49" s="19">
        <f t="shared" si="32"/>
        <v>0.20833333333333334</v>
      </c>
      <c r="O49" s="20">
        <f t="shared" si="33"/>
        <v>10</v>
      </c>
      <c r="P49" s="3">
        <f>IF(B49="Short",((D49-E49)/Lookup!$H$2)*C49*Lookup!$G$2,((E49-D49)/Lookup!$H$2)*C49*Lookup!$G$2)</f>
        <v>-68.749999999992426</v>
      </c>
      <c r="Q49" s="26"/>
      <c r="R49" s="27"/>
      <c r="S49" s="26"/>
      <c r="T49" s="26"/>
      <c r="U49" s="26"/>
      <c r="V49" s="6"/>
      <c r="W49" s="2">
        <f>P49/Lookup!$G$2+W48</f>
        <v>77.000000000002643</v>
      </c>
      <c r="X49" s="2">
        <f t="shared" si="34"/>
        <v>77.000000000002643</v>
      </c>
      <c r="Y49" s="5">
        <f>W49/(SUM($C$3:C49))</f>
        <v>1.6382978723404817</v>
      </c>
      <c r="Z49" s="119">
        <f t="shared" si="35"/>
        <v>-206.25000000000506</v>
      </c>
      <c r="AA49" s="113"/>
      <c r="AB49" s="55"/>
    </row>
    <row r="50" spans="1:28" ht="12.75" customHeight="1" x14ac:dyDescent="0.2">
      <c r="A50" s="92">
        <v>24</v>
      </c>
      <c r="B50" s="85" t="s">
        <v>19</v>
      </c>
      <c r="C50" s="37">
        <v>1</v>
      </c>
      <c r="D50" s="38">
        <v>1.6631</v>
      </c>
      <c r="E50" s="38">
        <v>1.6641999999999999</v>
      </c>
      <c r="F50" s="39">
        <v>41730.208981481483</v>
      </c>
      <c r="G50" s="39">
        <v>41730.216412037036</v>
      </c>
      <c r="H50" s="45"/>
      <c r="I50" s="102"/>
      <c r="J50" s="96" t="s">
        <v>20</v>
      </c>
      <c r="K50" s="92" t="s">
        <v>23</v>
      </c>
      <c r="L50" s="105">
        <f t="shared" si="30"/>
        <v>3</v>
      </c>
      <c r="M50" s="19">
        <f t="shared" si="31"/>
        <v>0.20833333333333334</v>
      </c>
      <c r="N50" s="19">
        <f t="shared" si="32"/>
        <v>0.20833333333333334</v>
      </c>
      <c r="O50" s="20">
        <f t="shared" si="33"/>
        <v>10</v>
      </c>
      <c r="P50" s="3">
        <f>IF(B50="Short",((D50-E50)/Lookup!$H$2)*C50*Lookup!$G$2,((E50-D50)/Lookup!$H$2)*C50*Lookup!$G$2)</f>
        <v>-68.749999999992426</v>
      </c>
      <c r="Q50" s="26"/>
      <c r="R50" s="27"/>
      <c r="S50" s="26"/>
      <c r="T50" s="26"/>
      <c r="U50" s="26"/>
      <c r="V50" s="6"/>
      <c r="W50" s="2">
        <f>P50/Lookup!$G$2+W49</f>
        <v>66.000000000003851</v>
      </c>
      <c r="X50" s="2">
        <f t="shared" si="34"/>
        <v>66.000000000003851</v>
      </c>
      <c r="Y50" s="5">
        <f>W50/(SUM($C$3:C50))</f>
        <v>1.3750000000000802</v>
      </c>
      <c r="Z50" s="119">
        <f t="shared" si="35"/>
        <v>-274.9999999999975</v>
      </c>
      <c r="AA50" s="113"/>
      <c r="AB50" s="55"/>
    </row>
    <row r="51" spans="1:28" ht="12.75" customHeight="1" x14ac:dyDescent="0.2">
      <c r="A51" s="92">
        <v>25</v>
      </c>
      <c r="B51" s="85" t="s">
        <v>10</v>
      </c>
      <c r="C51" s="37">
        <v>1</v>
      </c>
      <c r="D51" s="38">
        <v>1.6637</v>
      </c>
      <c r="E51" s="38">
        <v>1.6648000000000001</v>
      </c>
      <c r="F51" s="39">
        <v>41731.160891203705</v>
      </c>
      <c r="G51" s="39">
        <v>41731.180138888885</v>
      </c>
      <c r="H51" s="45"/>
      <c r="I51" s="102"/>
      <c r="J51" s="96" t="s">
        <v>27</v>
      </c>
      <c r="K51" s="92" t="s">
        <v>16</v>
      </c>
      <c r="L51" s="105">
        <f t="shared" si="30"/>
        <v>4</v>
      </c>
      <c r="M51" s="19">
        <f t="shared" si="31"/>
        <v>0.15625</v>
      </c>
      <c r="N51" s="19">
        <f t="shared" si="32"/>
        <v>0.17708333333333334</v>
      </c>
      <c r="O51" s="20">
        <f t="shared" si="33"/>
        <v>25</v>
      </c>
      <c r="P51" s="3">
        <f>IF(B51="Short",((D51-E51)/Lookup!$H$2)*C51*Lookup!$G$2,((E51-D51)/Lookup!$H$2)*C51*Lookup!$G$2)</f>
        <v>68.75000000000631</v>
      </c>
      <c r="Q51" s="26"/>
      <c r="R51" s="27"/>
      <c r="S51" s="26"/>
      <c r="T51" s="26"/>
      <c r="U51" s="26"/>
      <c r="V51" s="6"/>
      <c r="W51" s="2">
        <f>P51/Lookup!$G$2+W50</f>
        <v>77.00000000000486</v>
      </c>
      <c r="X51" s="2">
        <f t="shared" si="34"/>
        <v>77.00000000000486</v>
      </c>
      <c r="Y51" s="5">
        <f>W51/(SUM($C$3:C51))</f>
        <v>1.5714285714286707</v>
      </c>
      <c r="Z51" s="119">
        <f t="shared" si="35"/>
        <v>68.75000000000631</v>
      </c>
      <c r="AA51" s="113"/>
      <c r="AB51" s="55"/>
    </row>
    <row r="52" spans="1:28" ht="12.75" customHeight="1" x14ac:dyDescent="0.2">
      <c r="A52" s="92">
        <v>25</v>
      </c>
      <c r="B52" s="85" t="s">
        <v>10</v>
      </c>
      <c r="C52" s="37">
        <v>1</v>
      </c>
      <c r="D52" s="38">
        <v>1.6637</v>
      </c>
      <c r="E52" s="38">
        <v>1.6644000000000001</v>
      </c>
      <c r="F52" s="39">
        <v>41731.160891203705</v>
      </c>
      <c r="G52" s="39">
        <v>41731.186759259261</v>
      </c>
      <c r="H52" s="45"/>
      <c r="I52" s="102"/>
      <c r="J52" s="96" t="s">
        <v>27</v>
      </c>
      <c r="K52" s="92" t="s">
        <v>21</v>
      </c>
      <c r="L52" s="105">
        <f t="shared" si="30"/>
        <v>4</v>
      </c>
      <c r="M52" s="19">
        <f t="shared" si="31"/>
        <v>0.15625</v>
      </c>
      <c r="N52" s="19">
        <f t="shared" si="32"/>
        <v>0.17708333333333334</v>
      </c>
      <c r="O52" s="20">
        <f t="shared" si="33"/>
        <v>35</v>
      </c>
      <c r="P52" s="3">
        <f>IF(B52="Short",((D52-E52)/Lookup!$H$2)*C52*Lookup!$G$2,((E52-D52)/Lookup!$H$2)*C52*Lookup!$G$2)</f>
        <v>43.750000000009059</v>
      </c>
      <c r="Q52" s="26"/>
      <c r="R52" s="27"/>
      <c r="S52" s="26"/>
      <c r="T52" s="26"/>
      <c r="U52" s="26"/>
      <c r="V52" s="6"/>
      <c r="W52" s="2">
        <f>P52/Lookup!$G$2+W51</f>
        <v>84.00000000000631</v>
      </c>
      <c r="X52" s="2">
        <f t="shared" si="34"/>
        <v>84.00000000000631</v>
      </c>
      <c r="Y52" s="5">
        <f>W52/(SUM($C$3:C52))</f>
        <v>1.6800000000001263</v>
      </c>
      <c r="Z52" s="119">
        <f t="shared" si="35"/>
        <v>112.50000000001538</v>
      </c>
      <c r="AA52" s="113"/>
      <c r="AB52" s="55"/>
    </row>
    <row r="53" spans="1:28" ht="12.75" customHeight="1" x14ac:dyDescent="0.2">
      <c r="A53" s="92">
        <v>26</v>
      </c>
      <c r="B53" s="85" t="s">
        <v>10</v>
      </c>
      <c r="C53" s="37">
        <v>1</v>
      </c>
      <c r="D53" s="38">
        <v>1.6642999999999999</v>
      </c>
      <c r="E53" s="38">
        <v>1.6649</v>
      </c>
      <c r="F53" s="39">
        <v>41732.131493055553</v>
      </c>
      <c r="G53" s="39">
        <v>41732.13621527778</v>
      </c>
      <c r="H53" s="45"/>
      <c r="I53" s="102"/>
      <c r="J53" s="96" t="s">
        <v>15</v>
      </c>
      <c r="K53" s="92" t="s">
        <v>16</v>
      </c>
      <c r="L53" s="105">
        <f t="shared" si="30"/>
        <v>5</v>
      </c>
      <c r="M53" s="19">
        <f t="shared" si="31"/>
        <v>0.125</v>
      </c>
      <c r="N53" s="19">
        <f t="shared" si="32"/>
        <v>0.13541666666666666</v>
      </c>
      <c r="O53" s="20">
        <f t="shared" si="33"/>
        <v>5</v>
      </c>
      <c r="P53" s="3">
        <f>IF(B53="Short",((D53-E53)/Lookup!$H$2)*C53*Lookup!$G$2,((E53-D53)/Lookup!$H$2)*C53*Lookup!$G$2)</f>
        <v>37.500000000009749</v>
      </c>
      <c r="Q53" s="26"/>
      <c r="R53" s="27"/>
      <c r="S53" s="26"/>
      <c r="T53" s="26"/>
      <c r="U53" s="26"/>
      <c r="V53" s="6"/>
      <c r="W53" s="2">
        <f>P53/Lookup!$G$2+W52</f>
        <v>90.000000000007873</v>
      </c>
      <c r="X53" s="2">
        <f t="shared" si="34"/>
        <v>90.000000000007873</v>
      </c>
      <c r="Y53" s="5">
        <f>W53/(SUM($C$3:C53))</f>
        <v>1.7647058823530954</v>
      </c>
      <c r="Z53" s="119">
        <f t="shared" si="35"/>
        <v>150.00000000002512</v>
      </c>
      <c r="AA53" s="113"/>
      <c r="AB53" s="55"/>
    </row>
    <row r="54" spans="1:28" ht="12.75" customHeight="1" x14ac:dyDescent="0.2">
      <c r="A54" s="92">
        <v>26</v>
      </c>
      <c r="B54" s="85" t="s">
        <v>10</v>
      </c>
      <c r="C54" s="37">
        <v>1</v>
      </c>
      <c r="D54" s="38">
        <v>1.6642999999999999</v>
      </c>
      <c r="E54" s="38">
        <v>1.6642999999999999</v>
      </c>
      <c r="F54" s="39">
        <v>41732.131493055553</v>
      </c>
      <c r="G54" s="39">
        <v>41732.13621527778</v>
      </c>
      <c r="H54" s="45"/>
      <c r="I54" s="102"/>
      <c r="J54" s="96" t="s">
        <v>15</v>
      </c>
      <c r="K54" s="92" t="s">
        <v>26</v>
      </c>
      <c r="L54" s="105">
        <f t="shared" si="30"/>
        <v>5</v>
      </c>
      <c r="M54" s="19">
        <f t="shared" si="31"/>
        <v>0.125</v>
      </c>
      <c r="N54" s="19">
        <f t="shared" si="32"/>
        <v>0.13541666666666666</v>
      </c>
      <c r="O54" s="20">
        <f t="shared" si="33"/>
        <v>5</v>
      </c>
      <c r="P54" s="3">
        <f>IF(B54="Short",((D54-E54)/Lookup!$H$2)*C54*Lookup!$G$2,((E54-D54)/Lookup!$H$2)*C54*Lookup!$G$2)</f>
        <v>0</v>
      </c>
      <c r="Q54" s="26"/>
      <c r="R54" s="27"/>
      <c r="S54" s="26"/>
      <c r="T54" s="26"/>
      <c r="U54" s="26"/>
      <c r="V54" s="6"/>
      <c r="W54" s="2">
        <f>P54/Lookup!$G$2+W53</f>
        <v>90.000000000007873</v>
      </c>
      <c r="X54" s="2">
        <f t="shared" si="34"/>
        <v>90.000000000007873</v>
      </c>
      <c r="Y54" s="5">
        <f>W54/(SUM($C$3:C54))</f>
        <v>1.7307692307693823</v>
      </c>
      <c r="Z54" s="119">
        <f t="shared" si="35"/>
        <v>0</v>
      </c>
      <c r="AA54" s="113"/>
      <c r="AB54" s="55"/>
    </row>
    <row r="55" spans="1:28" ht="12.75" customHeight="1" x14ac:dyDescent="0.2">
      <c r="A55" s="92">
        <v>27</v>
      </c>
      <c r="B55" s="85" t="s">
        <v>19</v>
      </c>
      <c r="C55" s="37">
        <v>1</v>
      </c>
      <c r="D55" s="38">
        <v>1.6556999999999999</v>
      </c>
      <c r="E55" s="38">
        <v>1.6571</v>
      </c>
      <c r="F55" s="39">
        <v>41736.154675925929</v>
      </c>
      <c r="G55" s="39">
        <v>41736.175208333334</v>
      </c>
      <c r="H55" s="45"/>
      <c r="I55" s="102"/>
      <c r="J55" s="96" t="s">
        <v>27</v>
      </c>
      <c r="K55" s="92" t="s">
        <v>23</v>
      </c>
      <c r="L55" s="105">
        <f t="shared" si="30"/>
        <v>2</v>
      </c>
      <c r="M55" s="19">
        <f t="shared" si="31"/>
        <v>0.14583333333333334</v>
      </c>
      <c r="N55" s="19">
        <f t="shared" si="32"/>
        <v>0.16666666666666666</v>
      </c>
      <c r="O55" s="20">
        <f t="shared" si="33"/>
        <v>25</v>
      </c>
      <c r="P55" s="3">
        <f>IF(B55="Short",((D55-E55)/Lookup!$H$2)*C55*Lookup!$G$2,((E55-D55)/Lookup!$H$2)*C55*Lookup!$G$2)</f>
        <v>-87.500000000004235</v>
      </c>
      <c r="Q55" s="26"/>
      <c r="R55" s="27"/>
      <c r="S55" s="26"/>
      <c r="T55" s="26"/>
      <c r="U55" s="26"/>
      <c r="V55" s="6"/>
      <c r="W55" s="2">
        <f>P55/Lookup!$G$2+W54</f>
        <v>76.000000000007191</v>
      </c>
      <c r="X55" s="2">
        <f t="shared" si="34"/>
        <v>76.000000000007191</v>
      </c>
      <c r="Y55" s="5">
        <f>W55/(SUM($C$3:C55))</f>
        <v>1.433962264151079</v>
      </c>
      <c r="Z55" s="119">
        <f t="shared" si="35"/>
        <v>-87.500000000004235</v>
      </c>
      <c r="AA55" s="113"/>
      <c r="AB55" s="55"/>
    </row>
    <row r="56" spans="1:28" ht="12.75" customHeight="1" x14ac:dyDescent="0.2">
      <c r="A56" s="92">
        <v>27</v>
      </c>
      <c r="B56" s="85" t="s">
        <v>19</v>
      </c>
      <c r="C56" s="37">
        <v>1</v>
      </c>
      <c r="D56" s="38">
        <v>1.6556999999999999</v>
      </c>
      <c r="E56" s="38">
        <v>1.6571</v>
      </c>
      <c r="F56" s="39">
        <v>41736.154675925929</v>
      </c>
      <c r="G56" s="39">
        <v>41736.175208333334</v>
      </c>
      <c r="H56" s="45"/>
      <c r="I56" s="102"/>
      <c r="J56" s="96" t="s">
        <v>27</v>
      </c>
      <c r="K56" s="92" t="s">
        <v>23</v>
      </c>
      <c r="L56" s="105">
        <f t="shared" si="30"/>
        <v>2</v>
      </c>
      <c r="M56" s="19">
        <f t="shared" si="31"/>
        <v>0.14583333333333334</v>
      </c>
      <c r="N56" s="19">
        <f t="shared" si="32"/>
        <v>0.16666666666666666</v>
      </c>
      <c r="O56" s="20">
        <f t="shared" si="33"/>
        <v>25</v>
      </c>
      <c r="P56" s="3">
        <f>IF(B56="Short",((D56-E56)/Lookup!$H$2)*C56*Lookup!$G$2,((E56-D56)/Lookup!$H$2)*C56*Lookup!$G$2)</f>
        <v>-87.500000000004235</v>
      </c>
      <c r="Q56" s="26"/>
      <c r="R56" s="27"/>
      <c r="S56" s="26"/>
      <c r="T56" s="26"/>
      <c r="U56" s="26"/>
      <c r="V56" s="6"/>
      <c r="W56" s="2">
        <f>P56/Lookup!$G$2+W55</f>
        <v>62.000000000006516</v>
      </c>
      <c r="X56" s="2">
        <f t="shared" si="34"/>
        <v>62.000000000006516</v>
      </c>
      <c r="Y56" s="5">
        <f>W56/(SUM($C$3:C56))</f>
        <v>1.1481481481482687</v>
      </c>
      <c r="Z56" s="119">
        <f t="shared" si="35"/>
        <v>-175.00000000000847</v>
      </c>
      <c r="AA56" s="113"/>
      <c r="AB56" s="55"/>
    </row>
    <row r="57" spans="1:28" ht="12.75" customHeight="1" x14ac:dyDescent="0.2">
      <c r="A57" s="92">
        <v>28</v>
      </c>
      <c r="B57" s="85" t="s">
        <v>10</v>
      </c>
      <c r="C57" s="37">
        <v>1</v>
      </c>
      <c r="D57" s="38">
        <v>1.6667000000000001</v>
      </c>
      <c r="E57" s="38">
        <v>1.6695</v>
      </c>
      <c r="F57" s="39">
        <v>41737.1875</v>
      </c>
      <c r="G57" s="39">
        <v>41737.192164351851</v>
      </c>
      <c r="H57" s="45"/>
      <c r="I57" s="102"/>
      <c r="J57" s="96" t="s">
        <v>20</v>
      </c>
      <c r="K57" s="92" t="s">
        <v>68</v>
      </c>
      <c r="L57" s="105">
        <f t="shared" si="30"/>
        <v>3</v>
      </c>
      <c r="M57" s="19">
        <f t="shared" si="31"/>
        <v>0.1875</v>
      </c>
      <c r="N57" s="19">
        <f t="shared" si="32"/>
        <v>0.1875</v>
      </c>
      <c r="O57" s="20">
        <f t="shared" si="33"/>
        <v>5</v>
      </c>
      <c r="P57" s="3">
        <f>IF(B57="Short",((D57-E57)/Lookup!$H$2)*C57*Lookup!$G$2,((E57-D57)/Lookup!$H$2)*C57*Lookup!$G$2)</f>
        <v>174.9999999999946</v>
      </c>
      <c r="Q57" s="26"/>
      <c r="R57" s="27"/>
      <c r="S57" s="26"/>
      <c r="T57" s="26"/>
      <c r="U57" s="26"/>
      <c r="V57" s="6"/>
      <c r="W57" s="2">
        <f>P57/Lookup!$G$2+W56</f>
        <v>90.000000000005656</v>
      </c>
      <c r="X57" s="2">
        <f t="shared" si="34"/>
        <v>90.000000000005656</v>
      </c>
      <c r="Y57" s="5">
        <f>W57/(SUM($C$3:C57))</f>
        <v>1.6363636363637393</v>
      </c>
      <c r="Z57" s="119">
        <f t="shared" si="35"/>
        <v>174.9999999999946</v>
      </c>
      <c r="AA57" s="113"/>
      <c r="AB57" s="55"/>
    </row>
    <row r="58" spans="1:28" ht="12.75" customHeight="1" x14ac:dyDescent="0.2">
      <c r="A58" s="92">
        <v>28</v>
      </c>
      <c r="B58" s="85" t="s">
        <v>10</v>
      </c>
      <c r="C58" s="37">
        <v>1</v>
      </c>
      <c r="D58" s="38">
        <v>1.6667000000000001</v>
      </c>
      <c r="E58" s="38">
        <v>1.6695</v>
      </c>
      <c r="F58" s="39">
        <v>41737.1875</v>
      </c>
      <c r="G58" s="39">
        <v>41737.192164351851</v>
      </c>
      <c r="H58" s="45"/>
      <c r="I58" s="102"/>
      <c r="J58" s="96" t="s">
        <v>20</v>
      </c>
      <c r="K58" s="92" t="s">
        <v>68</v>
      </c>
      <c r="L58" s="105">
        <f t="shared" si="30"/>
        <v>3</v>
      </c>
      <c r="M58" s="19">
        <f t="shared" si="31"/>
        <v>0.1875</v>
      </c>
      <c r="N58" s="19">
        <f t="shared" si="32"/>
        <v>0.1875</v>
      </c>
      <c r="O58" s="20">
        <f t="shared" si="33"/>
        <v>5</v>
      </c>
      <c r="P58" s="3">
        <f>IF(B58="Short",((D58-E58)/Lookup!$H$2)*C58*Lookup!$G$2,((E58-D58)/Lookup!$H$2)*C58*Lookup!$G$2)</f>
        <v>174.9999999999946</v>
      </c>
      <c r="Q58" s="26"/>
      <c r="R58" s="27"/>
      <c r="S58" s="26"/>
      <c r="T58" s="26"/>
      <c r="U58" s="26"/>
      <c r="V58" s="6"/>
      <c r="W58" s="2">
        <f>P58/Lookup!$G$2+W57</f>
        <v>118.00000000000479</v>
      </c>
      <c r="X58" s="2">
        <f t="shared" si="34"/>
        <v>118.00000000000479</v>
      </c>
      <c r="Y58" s="5">
        <f>W58/(SUM($C$3:C58))</f>
        <v>2.1071428571429425</v>
      </c>
      <c r="Z58" s="119">
        <f t="shared" si="35"/>
        <v>349.9999999999892</v>
      </c>
      <c r="AA58" s="113"/>
      <c r="AB58" s="55"/>
    </row>
    <row r="59" spans="1:28" ht="12.75" customHeight="1" x14ac:dyDescent="0.2">
      <c r="A59" s="92">
        <v>29</v>
      </c>
      <c r="B59" s="85" t="s">
        <v>19</v>
      </c>
      <c r="C59" s="37">
        <v>1</v>
      </c>
      <c r="D59" s="38">
        <v>1.6727000000000001</v>
      </c>
      <c r="E59" s="38">
        <v>1.6737</v>
      </c>
      <c r="F59" s="39">
        <v>41738.132407407407</v>
      </c>
      <c r="G59" s="39">
        <v>41738.166574074072</v>
      </c>
      <c r="H59" s="45"/>
      <c r="I59" s="102"/>
      <c r="J59" s="96" t="s">
        <v>15</v>
      </c>
      <c r="K59" s="92" t="s">
        <v>23</v>
      </c>
      <c r="L59" s="105">
        <f t="shared" si="30"/>
        <v>4</v>
      </c>
      <c r="M59" s="19">
        <f t="shared" si="31"/>
        <v>0.125</v>
      </c>
      <c r="N59" s="19">
        <f t="shared" si="32"/>
        <v>0.15625</v>
      </c>
      <c r="O59" s="20">
        <f t="shared" si="33"/>
        <v>45</v>
      </c>
      <c r="P59" s="3">
        <f>IF(B59="Short",((D59-E59)/Lookup!$H$2)*C59*Lookup!$G$2,((E59-D59)/Lookup!$H$2)*C59*Lookup!$G$2)</f>
        <v>-62.499999999993115</v>
      </c>
      <c r="Q59" s="26"/>
      <c r="R59" s="27"/>
      <c r="S59" s="26"/>
      <c r="T59" s="26"/>
      <c r="U59" s="26"/>
      <c r="V59" s="6"/>
      <c r="W59" s="2">
        <f>P59/Lookup!$G$2+W58</f>
        <v>108.00000000000588</v>
      </c>
      <c r="X59" s="2">
        <f t="shared" si="34"/>
        <v>108.00000000000588</v>
      </c>
      <c r="Y59" s="5">
        <f>W59/(SUM($C$3:C59))</f>
        <v>1.8947368421053663</v>
      </c>
      <c r="Z59" s="119">
        <f t="shared" si="35"/>
        <v>-62.499999999993115</v>
      </c>
      <c r="AA59" s="113"/>
      <c r="AB59" s="55"/>
    </row>
    <row r="60" spans="1:28" ht="12.75" customHeight="1" x14ac:dyDescent="0.2">
      <c r="A60" s="92">
        <v>29</v>
      </c>
      <c r="B60" s="85" t="s">
        <v>19</v>
      </c>
      <c r="C60" s="37">
        <v>1</v>
      </c>
      <c r="D60" s="38">
        <v>1.6727000000000001</v>
      </c>
      <c r="E60" s="38">
        <v>1.6737</v>
      </c>
      <c r="F60" s="39">
        <v>41738.132407407407</v>
      </c>
      <c r="G60" s="39">
        <v>41738.166574074072</v>
      </c>
      <c r="H60" s="45"/>
      <c r="I60" s="102"/>
      <c r="J60" s="96" t="s">
        <v>15</v>
      </c>
      <c r="K60" s="92" t="s">
        <v>23</v>
      </c>
      <c r="L60" s="105">
        <f t="shared" si="30"/>
        <v>4</v>
      </c>
      <c r="M60" s="19">
        <f t="shared" si="31"/>
        <v>0.125</v>
      </c>
      <c r="N60" s="19">
        <f t="shared" si="32"/>
        <v>0.15625</v>
      </c>
      <c r="O60" s="20">
        <f t="shared" si="33"/>
        <v>45</v>
      </c>
      <c r="P60" s="3">
        <f>IF(B60="Short",((D60-E60)/Lookup!$H$2)*C60*Lookup!$G$2,((E60-D60)/Lookup!$H$2)*C60*Lookup!$G$2)</f>
        <v>-62.499999999993115</v>
      </c>
      <c r="Q60" s="26"/>
      <c r="R60" s="27"/>
      <c r="S60" s="26"/>
      <c r="T60" s="26"/>
      <c r="U60" s="26"/>
      <c r="V60" s="6"/>
      <c r="W60" s="2">
        <f>P60/Lookup!$G$2+W59</f>
        <v>98.000000000006992</v>
      </c>
      <c r="X60" s="2">
        <f t="shared" si="34"/>
        <v>98.000000000006992</v>
      </c>
      <c r="Y60" s="5">
        <f>W60/(SUM($C$3:C60))</f>
        <v>1.6896551724139137</v>
      </c>
      <c r="Z60" s="119">
        <f t="shared" si="35"/>
        <v>-124.99999999998623</v>
      </c>
      <c r="AA60" s="113"/>
      <c r="AB60" s="55"/>
    </row>
    <row r="61" spans="1:28" ht="12.75" customHeight="1" x14ac:dyDescent="0.2">
      <c r="A61" s="92">
        <v>30</v>
      </c>
      <c r="B61" s="85" t="s">
        <v>10</v>
      </c>
      <c r="C61" s="37">
        <v>1</v>
      </c>
      <c r="D61" s="38">
        <v>1.679</v>
      </c>
      <c r="E61" s="38">
        <v>1.6779999999999999</v>
      </c>
      <c r="F61" s="39">
        <v>41738.129780092589</v>
      </c>
      <c r="G61" s="39">
        <v>41738.140821759262</v>
      </c>
      <c r="H61" s="45"/>
      <c r="I61" s="102"/>
      <c r="J61" s="96" t="s">
        <v>15</v>
      </c>
      <c r="K61" s="92" t="s">
        <v>23</v>
      </c>
      <c r="L61" s="105">
        <f t="shared" si="30"/>
        <v>4</v>
      </c>
      <c r="M61" s="19">
        <f t="shared" si="31"/>
        <v>0.125</v>
      </c>
      <c r="N61" s="19">
        <f t="shared" si="32"/>
        <v>0.13541666666666666</v>
      </c>
      <c r="O61" s="20">
        <f t="shared" si="33"/>
        <v>15</v>
      </c>
      <c r="P61" s="3">
        <f>IF(B61="Short",((D61-E61)/Lookup!$H$2)*C61*Lookup!$G$2,((E61-D61)/Lookup!$H$2)*C61*Lookup!$G$2)</f>
        <v>-62.500000000006992</v>
      </c>
      <c r="Q61" s="26"/>
      <c r="R61" s="27"/>
      <c r="S61" s="26"/>
      <c r="T61" s="26"/>
      <c r="U61" s="26"/>
      <c r="V61" s="6"/>
      <c r="W61" s="2">
        <f>P61/Lookup!$G$2+W60</f>
        <v>88.000000000005869</v>
      </c>
      <c r="X61" s="2">
        <f t="shared" si="34"/>
        <v>88.000000000005869</v>
      </c>
      <c r="Y61" s="5">
        <f>W61/(SUM($C$3:C61))</f>
        <v>1.4915254237289131</v>
      </c>
      <c r="Z61" s="119">
        <f t="shared" si="35"/>
        <v>-187.49999999999324</v>
      </c>
      <c r="AA61" s="113"/>
      <c r="AB61" s="55"/>
    </row>
    <row r="62" spans="1:28" ht="12.75" customHeight="1" x14ac:dyDescent="0.2">
      <c r="A62" s="92">
        <v>30</v>
      </c>
      <c r="B62" s="85" t="s">
        <v>10</v>
      </c>
      <c r="C62" s="37">
        <v>1</v>
      </c>
      <c r="D62" s="38">
        <v>1.679</v>
      </c>
      <c r="E62" s="38">
        <v>1.6779999999999999</v>
      </c>
      <c r="F62" s="39">
        <v>41738.129780092589</v>
      </c>
      <c r="G62" s="39">
        <v>41738.140821759262</v>
      </c>
      <c r="H62" s="45"/>
      <c r="I62" s="102"/>
      <c r="J62" s="96" t="s">
        <v>15</v>
      </c>
      <c r="K62" s="92" t="s">
        <v>23</v>
      </c>
      <c r="L62" s="105">
        <f t="shared" si="30"/>
        <v>4</v>
      </c>
      <c r="M62" s="19">
        <f t="shared" si="31"/>
        <v>0.125</v>
      </c>
      <c r="N62" s="19">
        <f t="shared" si="32"/>
        <v>0.13541666666666666</v>
      </c>
      <c r="O62" s="20">
        <f t="shared" si="33"/>
        <v>15</v>
      </c>
      <c r="P62" s="3">
        <f>IF(B62="Short",((D62-E62)/Lookup!$H$2)*C62*Lookup!$G$2,((E62-D62)/Lookup!$H$2)*C62*Lookup!$G$2)</f>
        <v>-62.500000000006992</v>
      </c>
      <c r="Q62" s="26"/>
      <c r="R62" s="27"/>
      <c r="S62" s="26"/>
      <c r="T62" s="26"/>
      <c r="U62" s="26"/>
      <c r="V62" s="6"/>
      <c r="W62" s="2">
        <f>P62/Lookup!$G$2+W61</f>
        <v>78.000000000004746</v>
      </c>
      <c r="X62" s="2">
        <f t="shared" si="34"/>
        <v>78.000000000004746</v>
      </c>
      <c r="Y62" s="5">
        <f>W62/(SUM($C$3:C62))</f>
        <v>1.3000000000000791</v>
      </c>
      <c r="Z62" s="119">
        <f t="shared" si="35"/>
        <v>-250.00000000000023</v>
      </c>
      <c r="AA62" s="113"/>
      <c r="AB62" s="55"/>
    </row>
    <row r="63" spans="1:28" ht="12.75" customHeight="1" x14ac:dyDescent="0.2">
      <c r="A63" s="92">
        <v>31</v>
      </c>
      <c r="B63" s="85" t="s">
        <v>19</v>
      </c>
      <c r="C63" s="37">
        <v>1</v>
      </c>
      <c r="D63" s="38">
        <v>1.6765000000000001</v>
      </c>
      <c r="E63" s="38">
        <v>1.6763999999999999</v>
      </c>
      <c r="F63" s="39">
        <v>41740.173506944448</v>
      </c>
      <c r="G63" s="39">
        <v>41740.202152777776</v>
      </c>
      <c r="H63" s="45"/>
      <c r="I63" s="102"/>
      <c r="J63" s="96" t="s">
        <v>15</v>
      </c>
      <c r="K63" s="92" t="s">
        <v>26</v>
      </c>
      <c r="L63" s="105">
        <f t="shared" si="30"/>
        <v>6</v>
      </c>
      <c r="M63" s="19">
        <f t="shared" si="31"/>
        <v>0.16666666666666666</v>
      </c>
      <c r="N63" s="19">
        <f t="shared" si="32"/>
        <v>0.19791666666666666</v>
      </c>
      <c r="O63" s="20">
        <f t="shared" si="33"/>
        <v>40</v>
      </c>
      <c r="P63" s="3">
        <f>IF(B63="Short",((D63-E63)/Lookup!$H$2)*C63*Lookup!$G$2,((E63-D63)/Lookup!$H$2)*C63*Lookup!$G$2)</f>
        <v>6.2500000000131894</v>
      </c>
      <c r="Q63" s="26"/>
      <c r="R63" s="27"/>
      <c r="S63" s="26"/>
      <c r="T63" s="26"/>
      <c r="U63" s="26"/>
      <c r="V63" s="6"/>
      <c r="W63" s="2">
        <f>P63/Lookup!$G$2+W62</f>
        <v>79.00000000000685</v>
      </c>
      <c r="X63" s="2">
        <f t="shared" si="34"/>
        <v>79.00000000000685</v>
      </c>
      <c r="Y63" s="5">
        <f>W63/(SUM($C$3:C63))</f>
        <v>1.295081967213227</v>
      </c>
      <c r="Z63" s="119">
        <f t="shared" si="35"/>
        <v>6.2500000000131894</v>
      </c>
      <c r="AA63" s="113"/>
      <c r="AB63" s="55"/>
    </row>
    <row r="64" spans="1:28" ht="12.75" customHeight="1" x14ac:dyDescent="0.2">
      <c r="A64" s="92">
        <v>31</v>
      </c>
      <c r="B64" s="85" t="s">
        <v>19</v>
      </c>
      <c r="C64" s="37">
        <v>1</v>
      </c>
      <c r="D64" s="38">
        <v>1.6765000000000001</v>
      </c>
      <c r="E64" s="38">
        <v>1.6763999999999999</v>
      </c>
      <c r="F64" s="39">
        <v>41740.173506944448</v>
      </c>
      <c r="G64" s="39">
        <v>41740.202152777776</v>
      </c>
      <c r="H64" s="45"/>
      <c r="I64" s="102"/>
      <c r="J64" s="96" t="s">
        <v>15</v>
      </c>
      <c r="K64" s="92" t="s">
        <v>26</v>
      </c>
      <c r="L64" s="105">
        <f t="shared" si="30"/>
        <v>6</v>
      </c>
      <c r="M64" s="19">
        <f t="shared" si="31"/>
        <v>0.16666666666666666</v>
      </c>
      <c r="N64" s="19">
        <f t="shared" si="32"/>
        <v>0.19791666666666666</v>
      </c>
      <c r="O64" s="20">
        <f t="shared" si="33"/>
        <v>40</v>
      </c>
      <c r="P64" s="3">
        <f>IF(B64="Short",((D64-E64)/Lookup!$H$2)*C64*Lookup!$G$2,((E64-D64)/Lookup!$H$2)*C64*Lookup!$G$2)</f>
        <v>6.2500000000131894</v>
      </c>
      <c r="Q64" s="26"/>
      <c r="R64" s="27"/>
      <c r="S64" s="26"/>
      <c r="T64" s="26"/>
      <c r="U64" s="26"/>
      <c r="V64" s="6"/>
      <c r="W64" s="2">
        <f>P64/Lookup!$G$2+W63</f>
        <v>80.000000000008953</v>
      </c>
      <c r="X64" s="2">
        <f t="shared" si="34"/>
        <v>80.000000000008953</v>
      </c>
      <c r="Y64" s="5">
        <f>W64/(SUM($C$3:C64))</f>
        <v>1.2903225806453056</v>
      </c>
      <c r="Z64" s="119">
        <f t="shared" si="35"/>
        <v>12.500000000026379</v>
      </c>
      <c r="AA64" s="113"/>
      <c r="AB64" s="55"/>
    </row>
    <row r="65" spans="1:28" ht="12.75" customHeight="1" x14ac:dyDescent="0.2">
      <c r="A65" s="92">
        <v>32</v>
      </c>
      <c r="B65" s="85" t="s">
        <v>19</v>
      </c>
      <c r="C65" s="37">
        <v>1</v>
      </c>
      <c r="D65" s="38">
        <v>1.6754</v>
      </c>
      <c r="E65" s="38">
        <v>1.6738999999999999</v>
      </c>
      <c r="F65" s="39">
        <v>41740.217893518522</v>
      </c>
      <c r="G65" s="39">
        <v>41740.288090277776</v>
      </c>
      <c r="H65" s="45"/>
      <c r="I65" s="102"/>
      <c r="J65" s="96" t="s">
        <v>20</v>
      </c>
      <c r="K65" s="92" t="s">
        <v>16</v>
      </c>
      <c r="L65" s="105">
        <f t="shared" ref="L65:L66" si="36">WEEKDAY(F65)</f>
        <v>6</v>
      </c>
      <c r="M65" s="19">
        <f t="shared" ref="M65:M66" si="37">TIME(HOUR(F65),FLOOR(MINUTE(F65),15),0)</f>
        <v>0.20833333333333334</v>
      </c>
      <c r="N65" s="19">
        <f t="shared" ref="N65:N66" si="38">TIME(HOUR(G65),FLOOR(MINUTE(G65),15),0)</f>
        <v>0.28125</v>
      </c>
      <c r="O65" s="20">
        <f t="shared" ref="O65:O66" si="39">(FLOOR((SECOND(G65-F65)+((MINUTE(G65-F65))*60)+((HOUR(G65-F65))*3600)),300))/60</f>
        <v>100</v>
      </c>
      <c r="P65" s="3">
        <f>IF(B65="Short",((D65-E65)/Lookup!$H$2)*C65*Lookup!$G$2,((E65-D65)/Lookup!$H$2)*C65*Lookup!$G$2)</f>
        <v>93.750000000003553</v>
      </c>
      <c r="Q65" s="26"/>
      <c r="R65" s="27"/>
      <c r="S65" s="26"/>
      <c r="T65" s="26"/>
      <c r="U65" s="26"/>
      <c r="V65" s="6"/>
      <c r="W65" s="2">
        <f>P65/Lookup!$G$2+W64</f>
        <v>95.000000000009521</v>
      </c>
      <c r="X65" s="2">
        <f t="shared" ref="X65:X66" si="40">W65</f>
        <v>95.000000000009521</v>
      </c>
      <c r="Y65" s="5">
        <f>W65/(SUM($C$3:C65))</f>
        <v>1.5079365079366591</v>
      </c>
      <c r="Z65" s="119">
        <f t="shared" ref="Z65:Z66" si="41">IF(P65&lt;=0,IF(P64&lt;=0,P65+Z64,P65),IF(P64&gt;0,P65+Z64,P65))</f>
        <v>106.25000000002993</v>
      </c>
      <c r="AA65" s="113"/>
      <c r="AB65" s="55"/>
    </row>
    <row r="66" spans="1:28" ht="12.75" customHeight="1" x14ac:dyDescent="0.2">
      <c r="A66" s="92">
        <v>32</v>
      </c>
      <c r="B66" s="85" t="s">
        <v>19</v>
      </c>
      <c r="C66" s="37">
        <v>1</v>
      </c>
      <c r="D66" s="38">
        <v>1.6754</v>
      </c>
      <c r="E66" s="38">
        <v>1.6718</v>
      </c>
      <c r="F66" s="39">
        <v>41740.217893518522</v>
      </c>
      <c r="G66" s="39">
        <v>41740.321458333332</v>
      </c>
      <c r="H66" s="45"/>
      <c r="I66" s="102"/>
      <c r="J66" s="96" t="s">
        <v>20</v>
      </c>
      <c r="K66" s="92" t="s">
        <v>21</v>
      </c>
      <c r="L66" s="105">
        <f t="shared" si="36"/>
        <v>6</v>
      </c>
      <c r="M66" s="19">
        <f t="shared" si="37"/>
        <v>0.20833333333333334</v>
      </c>
      <c r="N66" s="19">
        <f t="shared" si="38"/>
        <v>0.3125</v>
      </c>
      <c r="O66" s="20">
        <f t="shared" si="39"/>
        <v>145</v>
      </c>
      <c r="P66" s="3">
        <f>IF(B66="Short",((D66-E66)/Lookup!$H$2)*C66*Lookup!$G$2,((E66-D66)/Lookup!$H$2)*C66*Lookup!$G$2)</f>
        <v>225.00000000000298</v>
      </c>
      <c r="Q66" s="26"/>
      <c r="R66" s="27"/>
      <c r="S66" s="26"/>
      <c r="T66" s="26"/>
      <c r="U66" s="26"/>
      <c r="V66" s="6"/>
      <c r="W66" s="2">
        <f>P66/Lookup!$G$2+W65</f>
        <v>131.00000000001</v>
      </c>
      <c r="X66" s="2">
        <f t="shared" si="40"/>
        <v>131.00000000001</v>
      </c>
      <c r="Y66" s="5">
        <f>W66/(SUM($C$3:C66))</f>
        <v>2.0468750000001563</v>
      </c>
      <c r="Z66" s="119">
        <f t="shared" si="41"/>
        <v>331.25000000003291</v>
      </c>
      <c r="AA66" s="113"/>
      <c r="AB66" s="55"/>
    </row>
    <row r="67" spans="1:28" s="8" customFormat="1" ht="12.75" customHeight="1" x14ac:dyDescent="0.2">
      <c r="A67" s="92"/>
      <c r="B67" s="85"/>
      <c r="C67" s="37"/>
      <c r="D67" s="38"/>
      <c r="E67" s="38"/>
      <c r="F67" s="45"/>
      <c r="G67" s="45"/>
      <c r="H67" s="45"/>
      <c r="I67" s="102"/>
      <c r="J67" s="96"/>
      <c r="K67" s="92"/>
      <c r="L67" s="105"/>
      <c r="M67" s="19"/>
      <c r="N67" s="19"/>
      <c r="O67" s="20"/>
      <c r="P67" s="3"/>
      <c r="Q67" s="4"/>
      <c r="R67" s="4"/>
      <c r="S67" s="4"/>
      <c r="T67" s="4"/>
      <c r="U67" s="4"/>
      <c r="V67" s="2"/>
      <c r="W67" s="2"/>
      <c r="X67" s="2"/>
      <c r="Y67" s="5"/>
      <c r="Z67" s="119"/>
      <c r="AA67" s="113"/>
      <c r="AB67" s="55"/>
    </row>
    <row r="68" spans="1:28" s="8" customFormat="1" ht="12.75" customHeight="1" x14ac:dyDescent="0.2">
      <c r="A68" s="92"/>
      <c r="B68" s="85"/>
      <c r="C68" s="37"/>
      <c r="D68" s="38"/>
      <c r="E68" s="38"/>
      <c r="F68" s="45"/>
      <c r="G68" s="45"/>
      <c r="H68" s="45"/>
      <c r="I68" s="102"/>
      <c r="J68" s="96"/>
      <c r="K68" s="92"/>
      <c r="L68" s="105"/>
      <c r="M68" s="19"/>
      <c r="N68" s="19"/>
      <c r="O68" s="20"/>
      <c r="P68" s="3"/>
      <c r="Q68" s="4"/>
      <c r="R68" s="4"/>
      <c r="S68" s="4"/>
      <c r="T68" s="4"/>
      <c r="U68" s="4"/>
      <c r="V68" s="2"/>
      <c r="W68" s="2"/>
      <c r="X68" s="2"/>
      <c r="Y68" s="5"/>
      <c r="Z68" s="119"/>
      <c r="AA68" s="113"/>
      <c r="AB68" s="55"/>
    </row>
    <row r="69" spans="1:28" ht="12.75" customHeight="1" x14ac:dyDescent="0.2">
      <c r="A69" s="92"/>
      <c r="B69" s="85"/>
      <c r="C69" s="37"/>
      <c r="D69" s="38"/>
      <c r="E69" s="38"/>
      <c r="F69" s="45"/>
      <c r="G69" s="45"/>
      <c r="H69" s="45"/>
      <c r="I69" s="102"/>
      <c r="J69" s="96"/>
      <c r="K69" s="92"/>
      <c r="L69" s="105"/>
      <c r="M69" s="19"/>
      <c r="N69" s="19"/>
      <c r="O69" s="20"/>
      <c r="P69" s="3"/>
      <c r="Q69" s="4"/>
      <c r="R69" s="4"/>
      <c r="S69" s="4"/>
      <c r="T69" s="4"/>
      <c r="U69" s="4"/>
      <c r="V69" s="2"/>
      <c r="W69" s="2"/>
      <c r="X69" s="2"/>
      <c r="Y69" s="5"/>
      <c r="Z69" s="119"/>
      <c r="AA69" s="113"/>
      <c r="AB69" s="55"/>
    </row>
    <row r="70" spans="1:28" ht="12.75" customHeight="1" x14ac:dyDescent="0.2">
      <c r="A70" s="92"/>
      <c r="B70" s="85"/>
      <c r="C70" s="37"/>
      <c r="D70" s="38"/>
      <c r="E70" s="38"/>
      <c r="F70" s="45"/>
      <c r="G70" s="45"/>
      <c r="H70" s="45"/>
      <c r="I70" s="102"/>
      <c r="J70" s="96"/>
      <c r="K70" s="92"/>
      <c r="L70" s="105"/>
      <c r="M70" s="19"/>
      <c r="N70" s="19"/>
      <c r="O70" s="20"/>
      <c r="P70" s="3"/>
      <c r="Q70" s="4"/>
      <c r="R70" s="4"/>
      <c r="S70" s="4"/>
      <c r="T70" s="4"/>
      <c r="U70" s="4"/>
      <c r="V70" s="2"/>
      <c r="W70" s="2"/>
      <c r="X70" s="2"/>
      <c r="Y70" s="5"/>
      <c r="Z70" s="119"/>
      <c r="AA70" s="113"/>
      <c r="AB70" s="55"/>
    </row>
    <row r="71" spans="1:28" ht="12.75" customHeight="1" x14ac:dyDescent="0.2">
      <c r="A71" s="92"/>
      <c r="B71" s="85"/>
      <c r="C71" s="37"/>
      <c r="D71" s="38"/>
      <c r="E71" s="38"/>
      <c r="F71" s="45"/>
      <c r="G71" s="45"/>
      <c r="H71" s="45"/>
      <c r="I71" s="102"/>
      <c r="J71" s="96"/>
      <c r="K71" s="92"/>
      <c r="L71" s="105"/>
      <c r="M71" s="19"/>
      <c r="N71" s="19"/>
      <c r="O71" s="20"/>
      <c r="P71" s="3"/>
      <c r="Q71" s="4"/>
      <c r="R71" s="4"/>
      <c r="S71" s="4"/>
      <c r="T71" s="4"/>
      <c r="U71" s="4"/>
      <c r="V71" s="2"/>
      <c r="W71" s="2"/>
      <c r="X71" s="2"/>
      <c r="Y71" s="5"/>
      <c r="Z71" s="119"/>
      <c r="AA71" s="113"/>
      <c r="AB71" s="55"/>
    </row>
    <row r="72" spans="1:28" ht="12.75" customHeight="1" x14ac:dyDescent="0.2">
      <c r="A72" s="92"/>
      <c r="B72" s="85"/>
      <c r="C72" s="37"/>
      <c r="D72" s="38"/>
      <c r="E72" s="38"/>
      <c r="F72" s="45"/>
      <c r="G72" s="45"/>
      <c r="H72" s="45"/>
      <c r="I72" s="102"/>
      <c r="J72" s="96"/>
      <c r="K72" s="92"/>
      <c r="L72" s="105"/>
      <c r="M72" s="19"/>
      <c r="N72" s="19"/>
      <c r="O72" s="20"/>
      <c r="P72" s="3"/>
      <c r="Q72" s="4"/>
      <c r="R72" s="4"/>
      <c r="S72" s="4"/>
      <c r="T72" s="4"/>
      <c r="U72" s="4"/>
      <c r="V72" s="2"/>
      <c r="W72" s="2"/>
      <c r="X72" s="2"/>
      <c r="Y72" s="5"/>
      <c r="Z72" s="119"/>
      <c r="AA72" s="113"/>
      <c r="AB72" s="55"/>
    </row>
    <row r="73" spans="1:28" ht="12.75" customHeight="1" x14ac:dyDescent="0.2">
      <c r="A73" s="92"/>
      <c r="B73" s="85"/>
      <c r="C73" s="37"/>
      <c r="D73" s="38"/>
      <c r="E73" s="38"/>
      <c r="F73" s="45"/>
      <c r="G73" s="45"/>
      <c r="H73" s="45"/>
      <c r="I73" s="102"/>
      <c r="J73" s="96"/>
      <c r="K73" s="92"/>
      <c r="L73" s="105"/>
      <c r="M73" s="19"/>
      <c r="N73" s="19"/>
      <c r="O73" s="20"/>
      <c r="P73" s="3"/>
      <c r="Q73" s="4"/>
      <c r="R73" s="4"/>
      <c r="S73" s="4"/>
      <c r="T73" s="4"/>
      <c r="U73" s="4"/>
      <c r="V73" s="2"/>
      <c r="W73" s="2"/>
      <c r="X73" s="2"/>
      <c r="Y73" s="5"/>
      <c r="Z73" s="119"/>
      <c r="AA73" s="113"/>
      <c r="AB73" s="55"/>
    </row>
    <row r="74" spans="1:28" ht="12.75" customHeight="1" x14ac:dyDescent="0.2">
      <c r="A74" s="92"/>
      <c r="B74" s="85"/>
      <c r="C74" s="37"/>
      <c r="D74" s="38"/>
      <c r="E74" s="38"/>
      <c r="F74" s="45"/>
      <c r="G74" s="45"/>
      <c r="H74" s="45"/>
      <c r="I74" s="102"/>
      <c r="J74" s="96"/>
      <c r="K74" s="92"/>
      <c r="L74" s="105"/>
      <c r="M74" s="19"/>
      <c r="N74" s="19"/>
      <c r="O74" s="20"/>
      <c r="P74" s="3"/>
      <c r="Q74" s="4"/>
      <c r="R74" s="4"/>
      <c r="S74" s="4"/>
      <c r="T74" s="4"/>
      <c r="U74" s="4"/>
      <c r="V74" s="2"/>
      <c r="W74" s="2"/>
      <c r="X74" s="2"/>
      <c r="Y74" s="5"/>
      <c r="Z74" s="119"/>
      <c r="AA74" s="113"/>
      <c r="AB74" s="55"/>
    </row>
    <row r="75" spans="1:28" ht="12.75" customHeight="1" x14ac:dyDescent="0.2">
      <c r="A75" s="92"/>
      <c r="B75" s="85"/>
      <c r="C75" s="37"/>
      <c r="D75" s="38"/>
      <c r="E75" s="38"/>
      <c r="F75" s="45"/>
      <c r="G75" s="45"/>
      <c r="H75" s="45"/>
      <c r="I75" s="102"/>
      <c r="J75" s="96"/>
      <c r="K75" s="92"/>
      <c r="L75" s="105"/>
      <c r="M75" s="19"/>
      <c r="N75" s="19"/>
      <c r="O75" s="20"/>
      <c r="P75" s="3"/>
      <c r="Q75" s="4"/>
      <c r="R75" s="4"/>
      <c r="S75" s="4"/>
      <c r="T75" s="4"/>
      <c r="U75" s="4"/>
      <c r="V75" s="2"/>
      <c r="W75" s="2"/>
      <c r="X75" s="2"/>
      <c r="Y75" s="5"/>
      <c r="Z75" s="119"/>
      <c r="AA75" s="113"/>
      <c r="AB75" s="55"/>
    </row>
    <row r="76" spans="1:28" ht="12.75" customHeight="1" x14ac:dyDescent="0.2">
      <c r="A76" s="92"/>
      <c r="B76" s="85"/>
      <c r="C76" s="37"/>
      <c r="D76" s="38"/>
      <c r="E76" s="38"/>
      <c r="F76" s="45"/>
      <c r="G76" s="45"/>
      <c r="H76" s="45"/>
      <c r="I76" s="102"/>
      <c r="J76" s="96"/>
      <c r="K76" s="92"/>
      <c r="L76" s="105"/>
      <c r="M76" s="19"/>
      <c r="N76" s="19"/>
      <c r="O76" s="20"/>
      <c r="P76" s="3"/>
      <c r="Q76" s="4"/>
      <c r="R76" s="4"/>
      <c r="S76" s="4"/>
      <c r="T76" s="4"/>
      <c r="U76" s="4"/>
      <c r="V76" s="2"/>
      <c r="W76" s="2"/>
      <c r="X76" s="2"/>
      <c r="Y76" s="5"/>
      <c r="Z76" s="119"/>
      <c r="AA76" s="113"/>
      <c r="AB76" s="55"/>
    </row>
    <row r="77" spans="1:28" ht="12.75" customHeight="1" x14ac:dyDescent="0.2">
      <c r="A77" s="92"/>
      <c r="B77" s="85"/>
      <c r="C77" s="37"/>
      <c r="D77" s="38"/>
      <c r="E77" s="38"/>
      <c r="F77" s="45"/>
      <c r="G77" s="45"/>
      <c r="H77" s="45"/>
      <c r="I77" s="102"/>
      <c r="J77" s="96"/>
      <c r="K77" s="92"/>
      <c r="L77" s="105"/>
      <c r="M77" s="19"/>
      <c r="N77" s="19"/>
      <c r="O77" s="20"/>
      <c r="P77" s="3"/>
      <c r="Q77" s="4"/>
      <c r="R77" s="4"/>
      <c r="S77" s="4"/>
      <c r="T77" s="4"/>
      <c r="U77" s="4"/>
      <c r="V77" s="2"/>
      <c r="W77" s="2"/>
      <c r="X77" s="2"/>
      <c r="Y77" s="5"/>
      <c r="Z77" s="119"/>
      <c r="AA77" s="113"/>
      <c r="AB77" s="55"/>
    </row>
    <row r="78" spans="1:28" ht="12.75" customHeight="1" x14ac:dyDescent="0.2">
      <c r="A78" s="92"/>
      <c r="B78" s="85"/>
      <c r="C78" s="37"/>
      <c r="D78" s="38"/>
      <c r="E78" s="38"/>
      <c r="F78" s="45"/>
      <c r="G78" s="45"/>
      <c r="H78" s="45"/>
      <c r="I78" s="102"/>
      <c r="J78" s="96"/>
      <c r="K78" s="92"/>
      <c r="L78" s="105"/>
      <c r="M78" s="19"/>
      <c r="N78" s="19"/>
      <c r="O78" s="20"/>
      <c r="P78" s="3"/>
      <c r="Q78" s="4"/>
      <c r="R78" s="4"/>
      <c r="S78" s="4"/>
      <c r="T78" s="4"/>
      <c r="U78" s="4"/>
      <c r="V78" s="2"/>
      <c r="W78" s="2"/>
      <c r="X78" s="2"/>
      <c r="Y78" s="5"/>
      <c r="Z78" s="119"/>
      <c r="AA78" s="113"/>
      <c r="AB78" s="55"/>
    </row>
    <row r="79" spans="1:28" ht="12.75" customHeight="1" x14ac:dyDescent="0.2">
      <c r="A79" s="92"/>
      <c r="B79" s="85"/>
      <c r="C79" s="37"/>
      <c r="D79" s="38"/>
      <c r="E79" s="38"/>
      <c r="F79" s="45"/>
      <c r="G79" s="45"/>
      <c r="H79" s="45"/>
      <c r="I79" s="102"/>
      <c r="J79" s="96"/>
      <c r="K79" s="92"/>
      <c r="L79" s="105"/>
      <c r="M79" s="19"/>
      <c r="N79" s="19"/>
      <c r="O79" s="20"/>
      <c r="P79" s="3"/>
      <c r="Q79" s="4"/>
      <c r="R79" s="4"/>
      <c r="S79" s="4"/>
      <c r="T79" s="4"/>
      <c r="U79" s="4"/>
      <c r="V79" s="2"/>
      <c r="W79" s="2"/>
      <c r="X79" s="2"/>
      <c r="Y79" s="5"/>
      <c r="Z79" s="119"/>
      <c r="AA79" s="113"/>
      <c r="AB79" s="55"/>
    </row>
    <row r="80" spans="1:28" ht="12.75" customHeight="1" x14ac:dyDescent="0.2">
      <c r="A80" s="92"/>
      <c r="B80" s="85"/>
      <c r="C80" s="37"/>
      <c r="D80" s="38"/>
      <c r="E80" s="38"/>
      <c r="F80" s="45"/>
      <c r="G80" s="45"/>
      <c r="H80" s="45"/>
      <c r="I80" s="102"/>
      <c r="J80" s="96"/>
      <c r="K80" s="92"/>
      <c r="L80" s="105"/>
      <c r="M80" s="19"/>
      <c r="N80" s="19"/>
      <c r="O80" s="20"/>
      <c r="P80" s="3"/>
      <c r="Q80" s="4"/>
      <c r="R80" s="4"/>
      <c r="S80" s="4"/>
      <c r="T80" s="4"/>
      <c r="U80" s="4"/>
      <c r="V80" s="2"/>
      <c r="W80" s="2"/>
      <c r="X80" s="2"/>
      <c r="Y80" s="5"/>
      <c r="Z80" s="119"/>
      <c r="AA80" s="113"/>
      <c r="AB80" s="55"/>
    </row>
    <row r="81" spans="1:28" ht="12.75" customHeight="1" x14ac:dyDescent="0.2">
      <c r="A81" s="92"/>
      <c r="B81" s="89"/>
      <c r="C81" s="48"/>
      <c r="D81" s="49"/>
      <c r="E81" s="49"/>
      <c r="F81" s="45"/>
      <c r="G81" s="45"/>
      <c r="H81" s="45"/>
      <c r="I81" s="102"/>
      <c r="J81" s="96"/>
      <c r="K81" s="109"/>
      <c r="L81" s="105"/>
      <c r="M81" s="19"/>
      <c r="N81" s="19"/>
      <c r="O81" s="20"/>
      <c r="P81" s="28"/>
      <c r="Q81" s="12"/>
      <c r="R81" s="12"/>
      <c r="S81" s="12"/>
      <c r="T81" s="12"/>
      <c r="U81" s="12"/>
      <c r="V81" s="11"/>
      <c r="W81" s="2"/>
      <c r="X81" s="2"/>
      <c r="Y81" s="5"/>
      <c r="Z81" s="119"/>
      <c r="AA81" s="114"/>
      <c r="AB81" s="57"/>
    </row>
    <row r="82" spans="1:28" s="8" customFormat="1" ht="12" customHeight="1" x14ac:dyDescent="0.2">
      <c r="A82" s="92"/>
      <c r="B82" s="89"/>
      <c r="C82" s="37"/>
      <c r="D82" s="49"/>
      <c r="E82" s="38"/>
      <c r="F82" s="45"/>
      <c r="G82" s="45"/>
      <c r="H82" s="45"/>
      <c r="I82" s="102"/>
      <c r="J82" s="96"/>
      <c r="K82" s="92"/>
      <c r="L82" s="105"/>
      <c r="M82" s="19"/>
      <c r="N82" s="19"/>
      <c r="O82" s="20"/>
      <c r="P82" s="3"/>
      <c r="Q82" s="29"/>
      <c r="R82" s="29"/>
      <c r="S82" s="29"/>
      <c r="T82" s="29"/>
      <c r="U82" s="29"/>
      <c r="V82" s="29"/>
      <c r="W82" s="2"/>
      <c r="X82" s="2"/>
      <c r="Y82" s="5"/>
      <c r="Z82" s="119"/>
      <c r="AA82" s="115"/>
      <c r="AB82" s="58"/>
    </row>
    <row r="83" spans="1:28" ht="12.75" customHeight="1" x14ac:dyDescent="0.2">
      <c r="A83" s="92"/>
      <c r="B83" s="86"/>
      <c r="C83" s="40"/>
      <c r="D83" s="38"/>
      <c r="E83" s="41"/>
      <c r="F83" s="45"/>
      <c r="G83" s="45"/>
      <c r="H83" s="45"/>
      <c r="I83" s="102"/>
      <c r="J83" s="97"/>
      <c r="K83" s="93"/>
      <c r="L83" s="105"/>
      <c r="M83" s="19"/>
      <c r="N83" s="19"/>
      <c r="O83" s="20"/>
      <c r="P83" s="26"/>
      <c r="Q83" s="27"/>
      <c r="R83" s="27"/>
      <c r="S83" s="27"/>
      <c r="T83" s="27"/>
      <c r="U83" s="27"/>
      <c r="V83" s="6"/>
      <c r="W83" s="2"/>
      <c r="X83" s="2"/>
      <c r="Y83" s="5"/>
      <c r="Z83" s="119"/>
      <c r="AA83" s="116"/>
      <c r="AB83" s="56"/>
    </row>
    <row r="84" spans="1:28" ht="12.75" customHeight="1" x14ac:dyDescent="0.2">
      <c r="A84" s="92"/>
      <c r="B84" s="85"/>
      <c r="C84" s="37"/>
      <c r="D84" s="38"/>
      <c r="E84" s="38"/>
      <c r="F84" s="45"/>
      <c r="G84" s="45"/>
      <c r="H84" s="45"/>
      <c r="I84" s="102"/>
      <c r="J84" s="96"/>
      <c r="K84" s="92"/>
      <c r="L84" s="105"/>
      <c r="M84" s="19"/>
      <c r="N84" s="19"/>
      <c r="O84" s="20"/>
      <c r="P84" s="3"/>
      <c r="Q84" s="4"/>
      <c r="R84" s="4"/>
      <c r="S84" s="4"/>
      <c r="T84" s="4"/>
      <c r="U84" s="4"/>
      <c r="V84" s="2"/>
      <c r="W84" s="2"/>
      <c r="X84" s="2"/>
      <c r="Y84" s="5"/>
      <c r="Z84" s="119"/>
      <c r="AA84" s="113"/>
      <c r="AB84" s="55"/>
    </row>
    <row r="85" spans="1:28" ht="12.75" customHeight="1" x14ac:dyDescent="0.2">
      <c r="A85" s="92"/>
      <c r="B85" s="85"/>
      <c r="C85" s="37"/>
      <c r="D85" s="38"/>
      <c r="E85" s="38"/>
      <c r="F85" s="45"/>
      <c r="G85" s="45"/>
      <c r="H85" s="45"/>
      <c r="I85" s="102"/>
      <c r="J85" s="96"/>
      <c r="K85" s="92"/>
      <c r="L85" s="105"/>
      <c r="M85" s="19"/>
      <c r="N85" s="19"/>
      <c r="O85" s="20"/>
      <c r="P85" s="3"/>
      <c r="Q85" s="4"/>
      <c r="R85" s="4"/>
      <c r="S85" s="4"/>
      <c r="T85" s="4"/>
      <c r="U85" s="4"/>
      <c r="V85" s="2"/>
      <c r="W85" s="2"/>
      <c r="X85" s="2"/>
      <c r="Y85" s="5"/>
      <c r="Z85" s="119"/>
      <c r="AA85" s="113"/>
      <c r="AB85" s="55"/>
    </row>
    <row r="86" spans="1:28" ht="12.75" customHeight="1" x14ac:dyDescent="0.2">
      <c r="A86" s="92"/>
      <c r="B86" s="85"/>
      <c r="C86" s="37"/>
      <c r="D86" s="38"/>
      <c r="E86" s="38"/>
      <c r="F86" s="45"/>
      <c r="G86" s="45"/>
      <c r="H86" s="45"/>
      <c r="I86" s="102"/>
      <c r="J86" s="96"/>
      <c r="K86" s="92"/>
      <c r="L86" s="105"/>
      <c r="M86" s="19"/>
      <c r="N86" s="19"/>
      <c r="O86" s="20"/>
      <c r="P86" s="3"/>
      <c r="Q86" s="4"/>
      <c r="R86" s="4"/>
      <c r="S86" s="4"/>
      <c r="T86" s="4"/>
      <c r="U86" s="4"/>
      <c r="V86" s="2"/>
      <c r="W86" s="2"/>
      <c r="X86" s="2"/>
      <c r="Y86" s="5"/>
      <c r="Z86" s="119"/>
      <c r="AA86" s="113"/>
      <c r="AB86" s="55"/>
    </row>
    <row r="87" spans="1:28" ht="12.75" customHeight="1" x14ac:dyDescent="0.2">
      <c r="A87" s="92"/>
      <c r="B87" s="85"/>
      <c r="C87" s="37"/>
      <c r="D87" s="38"/>
      <c r="E87" s="38"/>
      <c r="F87" s="45"/>
      <c r="G87" s="45"/>
      <c r="H87" s="45"/>
      <c r="I87" s="102"/>
      <c r="J87" s="96"/>
      <c r="K87" s="92"/>
      <c r="L87" s="105"/>
      <c r="M87" s="19"/>
      <c r="N87" s="19"/>
      <c r="O87" s="20"/>
      <c r="P87" s="3"/>
      <c r="Q87" s="4"/>
      <c r="R87" s="4"/>
      <c r="S87" s="4"/>
      <c r="T87" s="4"/>
      <c r="U87" s="4"/>
      <c r="V87" s="2"/>
      <c r="W87" s="2"/>
      <c r="X87" s="2"/>
      <c r="Y87" s="5"/>
      <c r="Z87" s="119"/>
      <c r="AA87" s="113"/>
      <c r="AB87" s="55"/>
    </row>
    <row r="88" spans="1:28" ht="12.75" customHeight="1" x14ac:dyDescent="0.2">
      <c r="A88" s="92"/>
      <c r="B88" s="85"/>
      <c r="C88" s="37"/>
      <c r="D88" s="38"/>
      <c r="E88" s="38"/>
      <c r="F88" s="45"/>
      <c r="G88" s="45"/>
      <c r="H88" s="45"/>
      <c r="I88" s="102"/>
      <c r="J88" s="96"/>
      <c r="K88" s="92"/>
      <c r="L88" s="105"/>
      <c r="M88" s="19"/>
      <c r="N88" s="19"/>
      <c r="O88" s="20"/>
      <c r="P88" s="3"/>
      <c r="Q88" s="4"/>
      <c r="R88" s="4"/>
      <c r="S88" s="4"/>
      <c r="T88" s="4"/>
      <c r="U88" s="4"/>
      <c r="V88" s="2"/>
      <c r="W88" s="2"/>
      <c r="X88" s="2"/>
      <c r="Y88" s="5"/>
      <c r="Z88" s="119"/>
      <c r="AA88" s="113"/>
      <c r="AB88" s="55"/>
    </row>
    <row r="89" spans="1:28" ht="12.75" customHeight="1" x14ac:dyDescent="0.2">
      <c r="A89" s="92"/>
      <c r="B89" s="85"/>
      <c r="C89" s="37"/>
      <c r="D89" s="38"/>
      <c r="E89" s="38"/>
      <c r="F89" s="45"/>
      <c r="G89" s="45"/>
      <c r="H89" s="45"/>
      <c r="I89" s="102"/>
      <c r="J89" s="96"/>
      <c r="K89" s="92"/>
      <c r="L89" s="106"/>
      <c r="M89" s="21"/>
      <c r="N89" s="21"/>
      <c r="O89" s="22"/>
      <c r="P89" s="3"/>
      <c r="Q89" s="4"/>
      <c r="R89" s="4"/>
      <c r="S89" s="4"/>
      <c r="T89" s="4"/>
      <c r="U89" s="4"/>
      <c r="V89" s="2"/>
      <c r="W89" s="2"/>
      <c r="X89" s="2"/>
      <c r="Y89" s="5"/>
      <c r="Z89" s="119"/>
      <c r="AA89" s="113"/>
      <c r="AB89" s="55"/>
    </row>
    <row r="90" spans="1:28" ht="12.75" customHeight="1" x14ac:dyDescent="0.2">
      <c r="A90" s="92"/>
      <c r="B90" s="85"/>
      <c r="C90" s="37"/>
      <c r="D90" s="38"/>
      <c r="E90" s="38"/>
      <c r="F90" s="45"/>
      <c r="G90" s="45"/>
      <c r="H90" s="45"/>
      <c r="I90" s="102"/>
      <c r="J90" s="96"/>
      <c r="K90" s="92"/>
      <c r="L90" s="106"/>
      <c r="M90" s="21"/>
      <c r="N90" s="21"/>
      <c r="O90" s="22"/>
      <c r="P90" s="3"/>
      <c r="Q90" s="4"/>
      <c r="R90" s="4"/>
      <c r="S90" s="4"/>
      <c r="T90" s="4"/>
      <c r="U90" s="4"/>
      <c r="V90" s="2"/>
      <c r="W90" s="2"/>
      <c r="X90" s="2"/>
      <c r="Y90" s="5"/>
      <c r="Z90" s="119"/>
      <c r="AA90" s="113"/>
      <c r="AB90" s="55"/>
    </row>
    <row r="91" spans="1:28" ht="12.75" customHeight="1" x14ac:dyDescent="0.2">
      <c r="A91" s="92"/>
      <c r="B91" s="85"/>
      <c r="C91" s="37"/>
      <c r="D91" s="38"/>
      <c r="E91" s="38"/>
      <c r="F91" s="45"/>
      <c r="G91" s="45"/>
      <c r="H91" s="45"/>
      <c r="I91" s="102"/>
      <c r="J91" s="96"/>
      <c r="K91" s="92"/>
      <c r="L91" s="106"/>
      <c r="M91" s="21"/>
      <c r="N91" s="21"/>
      <c r="O91" s="22"/>
      <c r="P91" s="3"/>
      <c r="Q91" s="4"/>
      <c r="R91" s="4"/>
      <c r="S91" s="4"/>
      <c r="T91" s="4"/>
      <c r="U91" s="4"/>
      <c r="V91" s="2"/>
      <c r="W91" s="2"/>
      <c r="X91" s="2"/>
      <c r="Y91" s="5"/>
      <c r="Z91" s="119"/>
      <c r="AA91" s="113"/>
      <c r="AB91" s="55"/>
    </row>
    <row r="92" spans="1:28" ht="12.75" customHeight="1" x14ac:dyDescent="0.2">
      <c r="A92" s="92"/>
      <c r="B92" s="85"/>
      <c r="C92" s="37"/>
      <c r="D92" s="38"/>
      <c r="E92" s="38"/>
      <c r="F92" s="45"/>
      <c r="G92" s="45"/>
      <c r="H92" s="45"/>
      <c r="I92" s="102"/>
      <c r="J92" s="96"/>
      <c r="K92" s="92"/>
      <c r="L92" s="106"/>
      <c r="M92" s="21"/>
      <c r="N92" s="21"/>
      <c r="O92" s="22"/>
      <c r="P92" s="3"/>
      <c r="Q92" s="4"/>
      <c r="R92" s="4"/>
      <c r="S92" s="4"/>
      <c r="T92" s="4"/>
      <c r="U92" s="4"/>
      <c r="V92" s="2"/>
      <c r="W92" s="2"/>
      <c r="X92" s="2"/>
      <c r="Y92" s="5"/>
      <c r="Z92" s="119"/>
      <c r="AA92" s="113"/>
      <c r="AB92" s="55"/>
    </row>
    <row r="93" spans="1:28" ht="12.75" customHeight="1" x14ac:dyDescent="0.2">
      <c r="A93" s="92"/>
      <c r="B93" s="85"/>
      <c r="C93" s="37"/>
      <c r="D93" s="38"/>
      <c r="E93" s="38"/>
      <c r="F93" s="45"/>
      <c r="G93" s="45"/>
      <c r="H93" s="45"/>
      <c r="I93" s="102"/>
      <c r="J93" s="96"/>
      <c r="K93" s="92"/>
      <c r="L93" s="106"/>
      <c r="M93" s="21"/>
      <c r="N93" s="21"/>
      <c r="O93" s="22"/>
      <c r="P93" s="3"/>
      <c r="Q93" s="4"/>
      <c r="R93" s="4"/>
      <c r="S93" s="4"/>
      <c r="T93" s="4"/>
      <c r="U93" s="4"/>
      <c r="V93" s="2"/>
      <c r="W93" s="2"/>
      <c r="X93" s="2"/>
      <c r="Y93" s="5"/>
      <c r="Z93" s="119"/>
      <c r="AA93" s="113"/>
      <c r="AB93" s="55"/>
    </row>
    <row r="94" spans="1:28" ht="12.75" customHeight="1" x14ac:dyDescent="0.2">
      <c r="A94" s="92"/>
      <c r="B94" s="85"/>
      <c r="C94" s="37"/>
      <c r="D94" s="38"/>
      <c r="E94" s="38"/>
      <c r="F94" s="45"/>
      <c r="G94" s="45"/>
      <c r="H94" s="45"/>
      <c r="I94" s="102"/>
      <c r="J94" s="96"/>
      <c r="K94" s="92"/>
      <c r="L94" s="106"/>
      <c r="M94" s="21"/>
      <c r="N94" s="21"/>
      <c r="O94" s="22"/>
      <c r="P94" s="3"/>
      <c r="Q94" s="4"/>
      <c r="R94" s="4"/>
      <c r="S94" s="4"/>
      <c r="T94" s="4"/>
      <c r="U94" s="4"/>
      <c r="V94" s="2"/>
      <c r="W94" s="2"/>
      <c r="X94" s="2"/>
      <c r="Y94" s="5"/>
      <c r="Z94" s="119"/>
      <c r="AA94" s="113"/>
      <c r="AB94" s="55"/>
    </row>
    <row r="95" spans="1:28" ht="12.75" customHeight="1" x14ac:dyDescent="0.2">
      <c r="A95" s="92"/>
      <c r="B95" s="85"/>
      <c r="C95" s="37"/>
      <c r="D95" s="38"/>
      <c r="E95" s="38"/>
      <c r="F95" s="45"/>
      <c r="G95" s="45"/>
      <c r="H95" s="45"/>
      <c r="I95" s="102"/>
      <c r="J95" s="96"/>
      <c r="K95" s="92"/>
      <c r="L95" s="106"/>
      <c r="M95" s="21"/>
      <c r="N95" s="21"/>
      <c r="O95" s="22"/>
      <c r="P95" s="3"/>
      <c r="Q95" s="4"/>
      <c r="R95" s="4"/>
      <c r="S95" s="4"/>
      <c r="T95" s="4"/>
      <c r="U95" s="4"/>
      <c r="V95" s="2"/>
      <c r="W95" s="2"/>
      <c r="X95" s="2"/>
      <c r="Y95" s="5"/>
      <c r="Z95" s="119"/>
      <c r="AA95" s="113"/>
      <c r="AB95" s="55"/>
    </row>
    <row r="96" spans="1:28" ht="12.75" customHeight="1" x14ac:dyDescent="0.2">
      <c r="A96" s="92"/>
      <c r="B96" s="85"/>
      <c r="C96" s="37"/>
      <c r="D96" s="38"/>
      <c r="E96" s="38"/>
      <c r="F96" s="45"/>
      <c r="G96" s="45"/>
      <c r="H96" s="45"/>
      <c r="I96" s="102"/>
      <c r="J96" s="96"/>
      <c r="K96" s="92"/>
      <c r="L96" s="106"/>
      <c r="M96" s="21"/>
      <c r="N96" s="21"/>
      <c r="O96" s="22"/>
      <c r="P96" s="3"/>
      <c r="Q96" s="4"/>
      <c r="R96" s="4"/>
      <c r="S96" s="4"/>
      <c r="T96" s="4"/>
      <c r="U96" s="4"/>
      <c r="V96" s="2"/>
      <c r="W96" s="2"/>
      <c r="X96" s="2"/>
      <c r="Y96" s="5"/>
      <c r="Z96" s="119"/>
      <c r="AA96" s="113"/>
      <c r="AB96" s="55"/>
    </row>
    <row r="97" spans="1:28" ht="12.75" customHeight="1" x14ac:dyDescent="0.2">
      <c r="A97" s="92"/>
      <c r="B97" s="85"/>
      <c r="C97" s="37"/>
      <c r="D97" s="38"/>
      <c r="E97" s="38"/>
      <c r="F97" s="45"/>
      <c r="G97" s="45"/>
      <c r="H97" s="45"/>
      <c r="I97" s="102"/>
      <c r="J97" s="96"/>
      <c r="K97" s="92"/>
      <c r="L97" s="106"/>
      <c r="M97" s="21"/>
      <c r="N97" s="21"/>
      <c r="O97" s="22"/>
      <c r="P97" s="3"/>
      <c r="Q97" s="4"/>
      <c r="R97" s="4"/>
      <c r="S97" s="4"/>
      <c r="T97" s="4"/>
      <c r="U97" s="4"/>
      <c r="V97" s="2"/>
      <c r="W97" s="2"/>
      <c r="X97" s="2"/>
      <c r="Y97" s="5"/>
      <c r="Z97" s="119"/>
      <c r="AA97" s="113"/>
      <c r="AB97" s="55"/>
    </row>
    <row r="98" spans="1:28" ht="12.75" customHeight="1" x14ac:dyDescent="0.2">
      <c r="A98" s="92"/>
      <c r="B98" s="85"/>
      <c r="C98" s="37"/>
      <c r="D98" s="38"/>
      <c r="E98" s="38"/>
      <c r="F98" s="45"/>
      <c r="G98" s="45"/>
      <c r="H98" s="45"/>
      <c r="I98" s="102"/>
      <c r="J98" s="96"/>
      <c r="K98" s="92"/>
      <c r="L98" s="106"/>
      <c r="M98" s="21"/>
      <c r="N98" s="21"/>
      <c r="O98" s="22"/>
      <c r="P98" s="3"/>
      <c r="Q98" s="4"/>
      <c r="R98" s="4"/>
      <c r="S98" s="4"/>
      <c r="T98" s="4"/>
      <c r="U98" s="4"/>
      <c r="V98" s="2"/>
      <c r="W98" s="2"/>
      <c r="X98" s="2"/>
      <c r="Y98" s="5"/>
      <c r="Z98" s="119"/>
      <c r="AA98" s="113"/>
      <c r="AB98" s="55"/>
    </row>
    <row r="99" spans="1:28" ht="12.75" customHeight="1" x14ac:dyDescent="0.2">
      <c r="A99" s="92"/>
      <c r="B99" s="85"/>
      <c r="C99" s="37"/>
      <c r="D99" s="38"/>
      <c r="E99" s="38"/>
      <c r="F99" s="45"/>
      <c r="G99" s="45"/>
      <c r="H99" s="45"/>
      <c r="I99" s="102"/>
      <c r="J99" s="96"/>
      <c r="K99" s="92"/>
      <c r="L99" s="106"/>
      <c r="M99" s="21"/>
      <c r="N99" s="21"/>
      <c r="O99" s="22"/>
      <c r="P99" s="3"/>
      <c r="Q99" s="4"/>
      <c r="R99" s="4"/>
      <c r="S99" s="4"/>
      <c r="T99" s="4"/>
      <c r="U99" s="4"/>
      <c r="V99" s="2"/>
      <c r="W99" s="2"/>
      <c r="X99" s="2"/>
      <c r="Y99" s="5"/>
      <c r="Z99" s="119"/>
      <c r="AA99" s="113"/>
      <c r="AB99" s="55"/>
    </row>
    <row r="100" spans="1:28" ht="12.75" customHeight="1" x14ac:dyDescent="0.2">
      <c r="A100" s="92"/>
      <c r="B100" s="85"/>
      <c r="C100" s="37"/>
      <c r="D100" s="38"/>
      <c r="E100" s="38"/>
      <c r="F100" s="45"/>
      <c r="G100" s="45"/>
      <c r="H100" s="45"/>
      <c r="I100" s="102"/>
      <c r="J100" s="96"/>
      <c r="K100" s="92"/>
      <c r="L100" s="106"/>
      <c r="M100" s="21"/>
      <c r="N100" s="21"/>
      <c r="O100" s="22"/>
      <c r="P100" s="3"/>
      <c r="Q100" s="4"/>
      <c r="R100" s="4"/>
      <c r="S100" s="4"/>
      <c r="T100" s="4"/>
      <c r="U100" s="4"/>
      <c r="V100" s="2"/>
      <c r="W100" s="2"/>
      <c r="X100" s="2"/>
      <c r="Y100" s="5"/>
      <c r="Z100" s="119"/>
      <c r="AA100" s="113"/>
      <c r="AB100" s="55"/>
    </row>
  </sheetData>
  <autoFilter ref="A2:AC100"/>
  <mergeCells count="4">
    <mergeCell ref="B1:I1"/>
    <mergeCell ref="J1:K1"/>
    <mergeCell ref="L1:Z1"/>
    <mergeCell ref="AA1:AB1"/>
  </mergeCells>
  <conditionalFormatting sqref="X2:X1048576">
    <cfRule type="dataBar" priority="5">
      <dataBar showValue="0">
        <cfvo type="min"/>
        <cfvo type="max"/>
        <color theme="1"/>
      </dataBar>
      <extLst>
        <ext xmlns:x14="http://schemas.microsoft.com/office/spreadsheetml/2009/9/main" uri="{B025F937-C7B1-47D3-B67F-A62EFF666E3E}">
          <x14:id>{64FE0E8A-3298-4A40-BD87-71B7F13040C9}</x14:id>
        </ext>
      </extLst>
    </cfRule>
  </conditionalFormatting>
  <conditionalFormatting sqref="Z2:Z1048576">
    <cfRule type="dataBar" priority="4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{1992728E-50C5-4A48-BBCF-FC0106AA3FE0}</x14:id>
        </ext>
      </extLst>
    </cfRule>
  </conditionalFormatting>
  <conditionalFormatting sqref="P2:P1048576">
    <cfRule type="colorScale" priority="3">
      <colorScale>
        <cfvo type="min"/>
        <cfvo type="num" val="0"/>
        <cfvo type="max"/>
        <color rgb="FFF8696B"/>
        <color rgb="FFFFEB84"/>
        <color rgb="FF63BE7B"/>
      </colorScale>
    </cfRule>
  </conditionalFormatting>
  <conditionalFormatting sqref="Y2:Y1048576">
    <cfRule type="colorScale" priority="1">
      <colorScale>
        <cfvo type="min"/>
        <cfvo type="num" val="0"/>
        <cfvo type="num" val="6"/>
        <color rgb="FFF8696B"/>
        <color rgb="FFFFEB84"/>
        <color rgb="FF63BE7B"/>
      </colorScale>
    </cfRule>
  </conditionalFormatting>
  <dataValidations count="6">
    <dataValidation type="list" errorStyle="warning" allowBlank="1" showInputMessage="1" showErrorMessage="1" error="Invalid Entry Name" sqref="J3:J1048576">
      <formula1>Entry_name</formula1>
    </dataValidation>
    <dataValidation errorStyle="warning" allowBlank="1" showInputMessage="1" showErrorMessage="1" error="Invalid Entry Name" sqref="J2"/>
    <dataValidation type="list" errorStyle="warning" allowBlank="1" showInputMessage="1" showErrorMessage="1" error="Invalid Exit Name" sqref="K3:K1048576">
      <formula1>Exit_name</formula1>
    </dataValidation>
    <dataValidation errorStyle="warning" allowBlank="1" showInputMessage="1" showErrorMessage="1" error="Invalid Exit Name" sqref="K2"/>
    <dataValidation type="list" errorStyle="warning" allowBlank="1" showInputMessage="1" showErrorMessage="1" error="Position can only be long or short " sqref="B3:B1048576">
      <formula1>Position</formula1>
    </dataValidation>
    <dataValidation errorStyle="warning" allowBlank="1" showInputMessage="1" showErrorMessage="1" error="Position can only be long or short " sqref="B2"/>
  </dataValidations>
  <pageMargins left="0.7" right="0.7" top="0.75" bottom="0.75" header="0.3" footer="0.3"/>
  <pageSetup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FE0E8A-3298-4A40-BD87-71B7F13040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X2:X1048576</xm:sqref>
        </x14:conditionalFormatting>
        <x14:conditionalFormatting xmlns:xm="http://schemas.microsoft.com/office/excel/2006/main">
          <x14:cfRule type="dataBar" id="{1992728E-50C5-4A48-BBCF-FC0106AA3FE0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m:sqref>Z2:Z1048576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A93"/>
  <sheetViews>
    <sheetView topLeftCell="B1" zoomScaleNormal="100" workbookViewId="0">
      <selection activeCell="X31" sqref="X31"/>
    </sheetView>
  </sheetViews>
  <sheetFormatPr defaultColWidth="46.7109375" defaultRowHeight="15" x14ac:dyDescent="0.2"/>
  <cols>
    <col min="1" max="1" width="16.5703125" style="14" customWidth="1"/>
    <col min="2" max="2" width="19" style="14" customWidth="1"/>
    <col min="3" max="3" width="20.28515625" style="14" customWidth="1"/>
    <col min="4" max="4" width="4.28515625" style="14" customWidth="1"/>
    <col min="5" max="5" width="24.42578125" style="14" customWidth="1"/>
    <col min="6" max="6" width="23.140625" style="14" customWidth="1"/>
    <col min="7" max="7" width="19" style="14" customWidth="1"/>
    <col min="8" max="8" width="20.7109375" style="14" customWidth="1"/>
    <col min="9" max="9" width="4.28515625" style="14" customWidth="1"/>
    <col min="10" max="18" width="0" style="14" hidden="1" customWidth="1"/>
    <col min="19" max="23" width="46.7109375" style="14" hidden="1" customWidth="1"/>
    <col min="24" max="24" width="26" style="14" bestFit="1" customWidth="1"/>
    <col min="25" max="25" width="23.140625" style="14" customWidth="1"/>
    <col min="26" max="26" width="19" style="14" customWidth="1"/>
    <col min="27" max="27" width="20.7109375" style="14" customWidth="1"/>
    <col min="28" max="28" width="16.7109375" style="14" customWidth="1"/>
    <col min="29" max="29" width="13.42578125" style="14" customWidth="1"/>
    <col min="30" max="16384" width="46.7109375" style="14"/>
  </cols>
  <sheetData>
    <row r="1" spans="1:27" ht="15.75" thickBot="1" x14ac:dyDescent="0.25">
      <c r="A1" s="60" t="s">
        <v>52</v>
      </c>
      <c r="B1" s="61" t="s">
        <v>74</v>
      </c>
      <c r="C1" s="62" t="s">
        <v>101</v>
      </c>
      <c r="D1"/>
      <c r="E1" s="60" t="s">
        <v>33</v>
      </c>
      <c r="F1" s="61" t="s">
        <v>102</v>
      </c>
      <c r="G1" s="61" t="s">
        <v>74</v>
      </c>
      <c r="H1" s="62" t="s">
        <v>73</v>
      </c>
      <c r="X1" s="123" t="s">
        <v>35</v>
      </c>
      <c r="Y1" s="124" t="s">
        <v>102</v>
      </c>
      <c r="Z1" s="125" t="s">
        <v>74</v>
      </c>
      <c r="AA1" s="126" t="s">
        <v>73</v>
      </c>
    </row>
    <row r="2" spans="1:27" x14ac:dyDescent="0.2">
      <c r="A2" s="63" t="s">
        <v>75</v>
      </c>
      <c r="B2" s="64">
        <v>100.00000000001674</v>
      </c>
      <c r="C2" s="65">
        <v>100.00000000001674</v>
      </c>
      <c r="D2"/>
      <c r="E2" s="69">
        <v>0.13541666666666666</v>
      </c>
      <c r="F2" s="64">
        <v>-125.00000000000011</v>
      </c>
      <c r="G2" s="64">
        <v>-250.00000000000023</v>
      </c>
      <c r="H2" s="70">
        <v>2</v>
      </c>
      <c r="X2" s="130" t="s">
        <v>20</v>
      </c>
      <c r="Y2" s="121">
        <v>18.229166666665815</v>
      </c>
      <c r="Z2" s="121">
        <v>218.74999999998977</v>
      </c>
      <c r="AA2" s="122">
        <v>12</v>
      </c>
    </row>
    <row r="3" spans="1:27" x14ac:dyDescent="0.2">
      <c r="A3" s="63" t="s">
        <v>76</v>
      </c>
      <c r="B3" s="64">
        <v>-125.00000000001398</v>
      </c>
      <c r="C3" s="65">
        <v>-125.00000000001398</v>
      </c>
      <c r="D3"/>
      <c r="E3" s="69">
        <v>0.14583333333333334</v>
      </c>
      <c r="F3" s="64">
        <v>6.2499999999993179</v>
      </c>
      <c r="G3" s="64">
        <v>24.999999999997272</v>
      </c>
      <c r="H3" s="70">
        <v>4</v>
      </c>
      <c r="X3" s="63" t="s">
        <v>15</v>
      </c>
      <c r="Y3" s="64">
        <v>8.5069444444469795</v>
      </c>
      <c r="Z3" s="64">
        <v>306.25000000009129</v>
      </c>
      <c r="AA3" s="70">
        <v>36</v>
      </c>
    </row>
    <row r="4" spans="1:27" x14ac:dyDescent="0.2">
      <c r="A4" s="63" t="s">
        <v>77</v>
      </c>
      <c r="B4" s="64">
        <v>62.499999999993115</v>
      </c>
      <c r="C4" s="65">
        <v>62.499999999993115</v>
      </c>
      <c r="D4"/>
      <c r="E4" s="69">
        <v>0.15625</v>
      </c>
      <c r="F4" s="64">
        <v>14.583333333336363</v>
      </c>
      <c r="G4" s="64">
        <v>87.500000000018176</v>
      </c>
      <c r="H4" s="70">
        <v>6</v>
      </c>
      <c r="X4" s="63" t="s">
        <v>27</v>
      </c>
      <c r="Y4" s="64">
        <v>11.458333333333224</v>
      </c>
      <c r="Z4" s="64">
        <v>137.49999999999869</v>
      </c>
      <c r="AA4" s="70">
        <v>12</v>
      </c>
    </row>
    <row r="5" spans="1:27" x14ac:dyDescent="0.2">
      <c r="A5" s="63" t="s">
        <v>78</v>
      </c>
      <c r="B5" s="64">
        <v>-12.499999999970868</v>
      </c>
      <c r="C5" s="65">
        <v>-12.499999999970868</v>
      </c>
      <c r="D5"/>
      <c r="E5" s="69">
        <v>0.16666666666666666</v>
      </c>
      <c r="F5" s="64">
        <v>-4.0178571428547158</v>
      </c>
      <c r="G5" s="64">
        <v>-56.249999999966022</v>
      </c>
      <c r="H5" s="70">
        <v>14</v>
      </c>
      <c r="X5" s="63" t="s">
        <v>48</v>
      </c>
      <c r="Y5" s="64">
        <v>39.062499999995694</v>
      </c>
      <c r="Z5" s="64">
        <v>156.24999999998278</v>
      </c>
      <c r="AA5" s="70">
        <v>4</v>
      </c>
    </row>
    <row r="6" spans="1:27" ht="15.75" thickBot="1" x14ac:dyDescent="0.25">
      <c r="A6" s="63" t="s">
        <v>79</v>
      </c>
      <c r="B6" s="64">
        <v>200.00000000000574</v>
      </c>
      <c r="C6" s="65">
        <v>200.00000000000574</v>
      </c>
      <c r="D6"/>
      <c r="E6" s="69">
        <v>0.1875</v>
      </c>
      <c r="F6" s="64">
        <v>93.749999999996618</v>
      </c>
      <c r="G6" s="64">
        <v>374.99999999998647</v>
      </c>
      <c r="H6" s="70">
        <v>4</v>
      </c>
      <c r="X6" s="66" t="s">
        <v>32</v>
      </c>
      <c r="Y6" s="67">
        <v>12.792968750000977</v>
      </c>
      <c r="Z6" s="67">
        <v>818.75000000006253</v>
      </c>
      <c r="AA6" s="71">
        <v>64</v>
      </c>
    </row>
    <row r="7" spans="1:27" ht="15.75" thickBot="1" x14ac:dyDescent="0.25">
      <c r="A7" s="63" t="s">
        <v>80</v>
      </c>
      <c r="B7" s="64">
        <v>24.999999999997247</v>
      </c>
      <c r="C7" s="65">
        <v>24.999999999997247</v>
      </c>
      <c r="D7"/>
      <c r="E7" s="69">
        <v>0.19791666666666666</v>
      </c>
      <c r="F7" s="64">
        <v>-68.75000000000631</v>
      </c>
      <c r="G7" s="64">
        <v>-137.50000000001262</v>
      </c>
      <c r="H7" s="70">
        <v>2</v>
      </c>
      <c r="Y7"/>
      <c r="Z7"/>
      <c r="AA7"/>
    </row>
    <row r="8" spans="1:27" x14ac:dyDescent="0.2">
      <c r="A8" s="63" t="s">
        <v>81</v>
      </c>
      <c r="B8" s="64">
        <v>137.50000000001262</v>
      </c>
      <c r="C8" s="65">
        <v>137.50000000001262</v>
      </c>
      <c r="D8"/>
      <c r="E8" s="69">
        <v>0.20833333333333334</v>
      </c>
      <c r="F8" s="64">
        <v>-8.5937499999973177</v>
      </c>
      <c r="G8" s="64">
        <v>-68.749999999978542</v>
      </c>
      <c r="H8" s="70">
        <v>8</v>
      </c>
      <c r="X8" s="60" t="s">
        <v>36</v>
      </c>
      <c r="Y8" s="61" t="s">
        <v>102</v>
      </c>
      <c r="Z8" s="61" t="s">
        <v>74</v>
      </c>
      <c r="AA8" s="62" t="s">
        <v>73</v>
      </c>
    </row>
    <row r="9" spans="1:27" x14ac:dyDescent="0.2">
      <c r="A9" s="63" t="s">
        <v>82</v>
      </c>
      <c r="B9" s="64">
        <v>-81.250000000018787</v>
      </c>
      <c r="C9" s="65">
        <v>-81.250000000018787</v>
      </c>
      <c r="D9"/>
      <c r="E9" s="69">
        <v>0.21875</v>
      </c>
      <c r="F9" s="64">
        <v>115.6249999999942</v>
      </c>
      <c r="G9" s="64">
        <v>462.49999999997681</v>
      </c>
      <c r="H9" s="70">
        <v>4</v>
      </c>
      <c r="X9" s="63" t="s">
        <v>26</v>
      </c>
      <c r="Y9" s="64">
        <v>5.0000000000050004</v>
      </c>
      <c r="Z9" s="64">
        <v>25.000000000025004</v>
      </c>
      <c r="AA9" s="70">
        <v>5</v>
      </c>
    </row>
    <row r="10" spans="1:27" x14ac:dyDescent="0.2">
      <c r="A10" s="63" t="s">
        <v>83</v>
      </c>
      <c r="B10" s="64">
        <v>-250.00000000000023</v>
      </c>
      <c r="C10" s="65">
        <v>-250.00000000000023</v>
      </c>
      <c r="D10"/>
      <c r="E10" s="69">
        <v>0.25</v>
      </c>
      <c r="F10" s="64">
        <v>71.875000000005954</v>
      </c>
      <c r="G10" s="64">
        <v>143.75000000001191</v>
      </c>
      <c r="H10" s="70">
        <v>2</v>
      </c>
      <c r="X10" s="63" t="s">
        <v>23</v>
      </c>
      <c r="Y10" s="64">
        <v>-80.729166666667055</v>
      </c>
      <c r="Z10" s="64">
        <v>-1937.5000000000093</v>
      </c>
      <c r="AA10" s="70">
        <v>24</v>
      </c>
    </row>
    <row r="11" spans="1:27" ht="15.75" thickBot="1" x14ac:dyDescent="0.25">
      <c r="A11" s="63" t="s">
        <v>84</v>
      </c>
      <c r="B11" s="64">
        <v>6.2500000000131948</v>
      </c>
      <c r="C11" s="65">
        <v>6.2500000000131948</v>
      </c>
      <c r="D11"/>
      <c r="E11" s="66" t="s">
        <v>32</v>
      </c>
      <c r="F11" s="67">
        <v>12.63586956521811</v>
      </c>
      <c r="G11" s="67">
        <v>581.25000000003308</v>
      </c>
      <c r="H11" s="71">
        <v>46</v>
      </c>
      <c r="X11" s="63" t="s">
        <v>16</v>
      </c>
      <c r="Y11" s="64">
        <v>83.928571428573079</v>
      </c>
      <c r="Z11" s="64">
        <v>1175.0000000000232</v>
      </c>
      <c r="AA11" s="70">
        <v>14</v>
      </c>
    </row>
    <row r="12" spans="1:27" ht="15.75" thickBot="1" x14ac:dyDescent="0.25">
      <c r="A12" s="63" t="s">
        <v>85</v>
      </c>
      <c r="B12" s="64">
        <v>187.50000000000711</v>
      </c>
      <c r="C12" s="65">
        <v>187.50000000000711</v>
      </c>
      <c r="D12"/>
      <c r="E12"/>
      <c r="F12"/>
      <c r="G12"/>
      <c r="H12"/>
      <c r="X12" s="63" t="s">
        <v>21</v>
      </c>
      <c r="Y12" s="64">
        <v>84.134615384618911</v>
      </c>
      <c r="Z12" s="64">
        <v>1093.7500000000459</v>
      </c>
      <c r="AA12" s="70">
        <v>13</v>
      </c>
    </row>
    <row r="13" spans="1:27" x14ac:dyDescent="0.2">
      <c r="A13" s="63" t="s">
        <v>86</v>
      </c>
      <c r="B13" s="64">
        <v>106.2499999999883</v>
      </c>
      <c r="C13" s="65">
        <v>106.2499999999883</v>
      </c>
      <c r="D13"/>
      <c r="E13" s="60" t="s">
        <v>34</v>
      </c>
      <c r="F13" s="61" t="s">
        <v>102</v>
      </c>
      <c r="G13" s="61" t="s">
        <v>74</v>
      </c>
      <c r="H13" s="62" t="s">
        <v>73</v>
      </c>
      <c r="X13" s="63" t="s">
        <v>68</v>
      </c>
      <c r="Y13" s="64">
        <v>57.812499999997101</v>
      </c>
      <c r="Z13" s="64">
        <v>462.49999999997681</v>
      </c>
      <c r="AA13" s="70">
        <v>8</v>
      </c>
    </row>
    <row r="14" spans="1:27" ht="15.75" thickBot="1" x14ac:dyDescent="0.25">
      <c r="A14" s="63" t="s">
        <v>87</v>
      </c>
      <c r="B14" s="64">
        <v>168.75000000000915</v>
      </c>
      <c r="C14" s="65">
        <v>168.75000000000915</v>
      </c>
      <c r="D14"/>
      <c r="E14" s="63">
        <v>0</v>
      </c>
      <c r="F14" s="64">
        <v>62.500000000001442</v>
      </c>
      <c r="G14" s="64">
        <v>312.50000000000722</v>
      </c>
      <c r="H14" s="70">
        <v>5</v>
      </c>
      <c r="X14" s="66" t="s">
        <v>32</v>
      </c>
      <c r="Y14" s="67">
        <v>12.792968750000977</v>
      </c>
      <c r="Z14" s="67">
        <v>818.75000000006253</v>
      </c>
      <c r="AA14" s="71">
        <v>64</v>
      </c>
    </row>
    <row r="15" spans="1:27" ht="15.75" thickBot="1" x14ac:dyDescent="0.25">
      <c r="A15" s="63" t="s">
        <v>88</v>
      </c>
      <c r="B15" s="64">
        <v>206.25000000000506</v>
      </c>
      <c r="C15" s="65">
        <v>206.25000000000506</v>
      </c>
      <c r="D15"/>
      <c r="E15" s="63">
        <v>5</v>
      </c>
      <c r="F15" s="64">
        <v>86.249999999997428</v>
      </c>
      <c r="G15" s="64">
        <v>862.49999999997431</v>
      </c>
      <c r="H15" s="70">
        <v>10</v>
      </c>
    </row>
    <row r="16" spans="1:27" ht="15.75" x14ac:dyDescent="0.25">
      <c r="A16" s="63" t="s">
        <v>89</v>
      </c>
      <c r="B16" s="64">
        <v>-212.50000000000435</v>
      </c>
      <c r="C16" s="65">
        <v>-212.50000000000435</v>
      </c>
      <c r="D16"/>
      <c r="E16" s="63">
        <v>10</v>
      </c>
      <c r="F16" s="64">
        <v>-44.642857142854211</v>
      </c>
      <c r="G16" s="64">
        <v>-312.49999999997948</v>
      </c>
      <c r="H16" s="70">
        <v>7</v>
      </c>
      <c r="X16" s="127" t="s">
        <v>41</v>
      </c>
      <c r="Y16" s="79">
        <f>COUNT(Log!P:P)</f>
        <v>64</v>
      </c>
    </row>
    <row r="17" spans="1:25" ht="15.75" x14ac:dyDescent="0.25">
      <c r="A17" s="63" t="s">
        <v>90</v>
      </c>
      <c r="B17" s="64">
        <v>-212.50000000000435</v>
      </c>
      <c r="C17" s="65">
        <v>-212.50000000000435</v>
      </c>
      <c r="D17"/>
      <c r="E17" s="63">
        <v>15</v>
      </c>
      <c r="F17" s="64">
        <v>-62.500000000006992</v>
      </c>
      <c r="G17" s="64">
        <v>-250.00000000002797</v>
      </c>
      <c r="H17" s="70">
        <v>4</v>
      </c>
      <c r="X17" s="128" t="s">
        <v>39</v>
      </c>
      <c r="Y17" s="80">
        <f>(AVERAGEIF(Log!P:P,"&gt;0"))</f>
        <v>70.673076923078767</v>
      </c>
    </row>
    <row r="18" spans="1:25" ht="15.75" x14ac:dyDescent="0.25">
      <c r="A18" s="63" t="s">
        <v>91</v>
      </c>
      <c r="B18" s="64">
        <v>12.499999999998623</v>
      </c>
      <c r="C18" s="65">
        <v>12.499999999998623</v>
      </c>
      <c r="D18"/>
      <c r="E18" s="63">
        <v>20</v>
      </c>
      <c r="F18" s="64">
        <v>41.666666666666707</v>
      </c>
      <c r="G18" s="64">
        <v>125.00000000000011</v>
      </c>
      <c r="H18" s="70">
        <v>3</v>
      </c>
      <c r="X18" s="128" t="s">
        <v>40</v>
      </c>
      <c r="Y18" s="80">
        <f>(AVERAGEIF(Log!P:P,"&lt;=0"))</f>
        <v>-77.500000000000369</v>
      </c>
    </row>
    <row r="19" spans="1:25" ht="15.75" x14ac:dyDescent="0.25">
      <c r="A19" s="63" t="s">
        <v>92</v>
      </c>
      <c r="B19" s="64">
        <v>368.7499999999871</v>
      </c>
      <c r="C19" s="65">
        <v>368.7499999999871</v>
      </c>
      <c r="E19" s="63">
        <v>25</v>
      </c>
      <c r="F19" s="64">
        <v>-23.958333333330685</v>
      </c>
      <c r="G19" s="64">
        <v>-143.74999999998411</v>
      </c>
      <c r="H19" s="70">
        <v>6</v>
      </c>
      <c r="X19" s="128" t="s">
        <v>47</v>
      </c>
      <c r="Y19" s="80">
        <f>MAX(Log!Z:Z)</f>
        <v>800.00000000000909</v>
      </c>
    </row>
    <row r="20" spans="1:25" ht="15.75" x14ac:dyDescent="0.25">
      <c r="A20" s="63" t="s">
        <v>93</v>
      </c>
      <c r="B20" s="64">
        <v>-137.50000000001262</v>
      </c>
      <c r="C20" s="65">
        <v>-137.50000000001262</v>
      </c>
      <c r="E20" s="63">
        <v>30</v>
      </c>
      <c r="F20" s="64">
        <v>75.000000000005627</v>
      </c>
      <c r="G20" s="64">
        <v>150.00000000001125</v>
      </c>
      <c r="H20" s="70">
        <v>2</v>
      </c>
      <c r="X20" s="128" t="s">
        <v>46</v>
      </c>
      <c r="Y20" s="80">
        <f>MIN(Log!Z:Z)</f>
        <v>-425.0000000000087</v>
      </c>
    </row>
    <row r="21" spans="1:25" ht="15.75" x14ac:dyDescent="0.25">
      <c r="A21" s="63" t="s">
        <v>94</v>
      </c>
      <c r="B21" s="64">
        <v>-137.49999999998485</v>
      </c>
      <c r="C21" s="65">
        <v>-137.49999999998485</v>
      </c>
      <c r="E21" s="63">
        <v>35</v>
      </c>
      <c r="F21" s="64">
        <v>50.00000000000837</v>
      </c>
      <c r="G21" s="64">
        <v>100.00000000001674</v>
      </c>
      <c r="H21" s="70">
        <v>2</v>
      </c>
      <c r="X21" s="128" t="s">
        <v>42</v>
      </c>
      <c r="Y21" s="81">
        <f>ABS((AVERAGEIF(Log!P:P,"&gt;0"))/(AVERAGEIF(Log!P:P,"&lt;=0")))</f>
        <v>0.91191066997520553</v>
      </c>
    </row>
    <row r="22" spans="1:25" ht="15.75" x14ac:dyDescent="0.25">
      <c r="A22" s="63" t="s">
        <v>95</v>
      </c>
      <c r="B22" s="64">
        <v>112.50000000001538</v>
      </c>
      <c r="C22" s="65">
        <v>112.50000000001538</v>
      </c>
      <c r="E22" s="63">
        <v>40</v>
      </c>
      <c r="F22" s="64">
        <v>9.3750000000059064</v>
      </c>
      <c r="G22" s="64">
        <v>37.500000000023626</v>
      </c>
      <c r="H22" s="70">
        <v>4</v>
      </c>
      <c r="X22" s="128" t="s">
        <v>43</v>
      </c>
      <c r="Y22" s="81">
        <f>(COUNTIF(Log!P:P,"&gt;0"))/(COUNTIF(Log!P:P,"&lt;=0"))</f>
        <v>1.56</v>
      </c>
    </row>
    <row r="23" spans="1:25" ht="15.75" x14ac:dyDescent="0.25">
      <c r="A23" s="63" t="s">
        <v>96</v>
      </c>
      <c r="B23" s="64">
        <v>37.500000000009749</v>
      </c>
      <c r="C23" s="65">
        <v>37.500000000009749</v>
      </c>
      <c r="E23" s="63">
        <v>50</v>
      </c>
      <c r="F23" s="64">
        <v>31.249999999996557</v>
      </c>
      <c r="G23" s="64">
        <v>31.249999999996557</v>
      </c>
      <c r="H23" s="70">
        <v>1</v>
      </c>
      <c r="X23" s="128" t="s">
        <v>44</v>
      </c>
      <c r="Y23" s="82">
        <f>COUNTIF(Log!P:P,"&gt;0")/COUNT(Log!P:P)</f>
        <v>0.609375</v>
      </c>
    </row>
    <row r="24" spans="1:25" ht="15.75" x14ac:dyDescent="0.25">
      <c r="A24" s="63" t="s">
        <v>97</v>
      </c>
      <c r="B24" s="64">
        <v>-175.00000000000847</v>
      </c>
      <c r="C24" s="65">
        <v>-175.00000000000847</v>
      </c>
      <c r="E24" s="63">
        <v>55</v>
      </c>
      <c r="F24" s="64">
        <v>-41.666666666666707</v>
      </c>
      <c r="G24" s="64">
        <v>-125.00000000000011</v>
      </c>
      <c r="H24" s="70">
        <v>3</v>
      </c>
      <c r="X24" s="128" t="s">
        <v>104</v>
      </c>
      <c r="Y24" s="81">
        <f>(SUM(Log!P:P)/Y16)/Lookup!$G$2</f>
        <v>2.0468750000001559</v>
      </c>
    </row>
    <row r="25" spans="1:25" ht="16.5" thickBot="1" x14ac:dyDescent="0.3">
      <c r="A25" s="63" t="s">
        <v>98</v>
      </c>
      <c r="B25" s="64">
        <v>349.9999999999892</v>
      </c>
      <c r="C25" s="65">
        <v>349.9999999999892</v>
      </c>
      <c r="E25" s="63">
        <v>70</v>
      </c>
      <c r="F25" s="64">
        <v>75.000000000005613</v>
      </c>
      <c r="G25" s="64">
        <v>75.000000000005613</v>
      </c>
      <c r="H25" s="70">
        <v>1</v>
      </c>
      <c r="X25" s="129" t="s">
        <v>45</v>
      </c>
      <c r="Y25" s="83">
        <f>SUM(Log!P:P)</f>
        <v>818.7500000000623</v>
      </c>
    </row>
    <row r="26" spans="1:25" ht="15.75" thickBot="1" x14ac:dyDescent="0.25">
      <c r="A26" s="63" t="s">
        <v>99</v>
      </c>
      <c r="B26" s="64">
        <v>-250.00000000000023</v>
      </c>
      <c r="C26" s="65">
        <v>-250.00000000000023</v>
      </c>
      <c r="E26" s="66" t="s">
        <v>32</v>
      </c>
      <c r="F26" s="67">
        <v>17.968750000000913</v>
      </c>
      <c r="G26" s="67">
        <v>862.50000000004377</v>
      </c>
      <c r="H26" s="71">
        <v>48</v>
      </c>
    </row>
    <row r="27" spans="1:25" ht="15.75" thickBot="1" x14ac:dyDescent="0.25">
      <c r="A27" s="63" t="s">
        <v>100</v>
      </c>
      <c r="B27" s="64">
        <v>331.25000000003291</v>
      </c>
      <c r="C27" s="65">
        <v>331.25000000003291</v>
      </c>
    </row>
    <row r="28" spans="1:25" ht="15.75" thickBot="1" x14ac:dyDescent="0.25">
      <c r="A28" s="66" t="s">
        <v>32</v>
      </c>
      <c r="B28" s="67">
        <v>818.75000000006253</v>
      </c>
      <c r="C28" s="68">
        <v>818.75000000006253</v>
      </c>
      <c r="E28" s="72" t="s">
        <v>38</v>
      </c>
      <c r="F28" s="73" t="s">
        <v>102</v>
      </c>
      <c r="G28" s="73" t="s">
        <v>74</v>
      </c>
      <c r="H28" s="74" t="s">
        <v>73</v>
      </c>
    </row>
    <row r="29" spans="1:25" x14ac:dyDescent="0.2">
      <c r="A29"/>
      <c r="B29"/>
      <c r="C29"/>
      <c r="E29" s="75">
        <v>2</v>
      </c>
      <c r="F29" s="64">
        <v>-34.895833333332952</v>
      </c>
      <c r="G29" s="64">
        <v>-418.74999999999545</v>
      </c>
      <c r="H29" s="76">
        <v>12</v>
      </c>
    </row>
    <row r="30" spans="1:25" x14ac:dyDescent="0.2">
      <c r="B30"/>
      <c r="C30"/>
      <c r="E30" s="75">
        <v>3</v>
      </c>
      <c r="F30" s="64">
        <v>7.2916666666658614</v>
      </c>
      <c r="G30" s="64">
        <v>87.499999999990337</v>
      </c>
      <c r="H30" s="76">
        <v>12</v>
      </c>
    </row>
    <row r="31" spans="1:25" x14ac:dyDescent="0.2">
      <c r="A31"/>
      <c r="B31"/>
      <c r="C31"/>
      <c r="E31" s="75">
        <v>4</v>
      </c>
      <c r="F31" s="64">
        <v>12.946428571429127</v>
      </c>
      <c r="G31" s="64">
        <v>181.25000000000779</v>
      </c>
      <c r="H31" s="76">
        <v>14</v>
      </c>
    </row>
    <row r="32" spans="1:25" x14ac:dyDescent="0.2">
      <c r="A32"/>
      <c r="B32"/>
      <c r="C32"/>
      <c r="E32" s="75">
        <v>5</v>
      </c>
      <c r="F32" s="64">
        <v>30.078125000001023</v>
      </c>
      <c r="G32" s="64">
        <v>481.25000000001637</v>
      </c>
      <c r="H32" s="76">
        <v>16</v>
      </c>
    </row>
    <row r="33" spans="1:8" x14ac:dyDescent="0.2">
      <c r="A33"/>
      <c r="B33"/>
      <c r="C33"/>
      <c r="E33" s="75">
        <v>6</v>
      </c>
      <c r="F33" s="64">
        <v>48.750000000004341</v>
      </c>
      <c r="G33" s="64">
        <v>487.50000000004343</v>
      </c>
      <c r="H33" s="76">
        <v>10</v>
      </c>
    </row>
    <row r="34" spans="1:8" ht="15.75" thickBot="1" x14ac:dyDescent="0.25">
      <c r="A34"/>
      <c r="B34"/>
      <c r="C34"/>
      <c r="E34" s="77" t="s">
        <v>32</v>
      </c>
      <c r="F34" s="67">
        <v>12.792968750000975</v>
      </c>
      <c r="G34" s="67">
        <v>818.75000000006241</v>
      </c>
      <c r="H34" s="78">
        <v>64</v>
      </c>
    </row>
    <row r="35" spans="1:8" x14ac:dyDescent="0.2">
      <c r="A35"/>
      <c r="B35"/>
      <c r="C35"/>
    </row>
    <row r="36" spans="1:8" x14ac:dyDescent="0.2">
      <c r="A36"/>
      <c r="B36"/>
      <c r="C36"/>
    </row>
    <row r="37" spans="1:8" x14ac:dyDescent="0.2">
      <c r="A37"/>
      <c r="B37"/>
      <c r="C37"/>
    </row>
    <row r="38" spans="1:8" x14ac:dyDescent="0.2">
      <c r="A38"/>
      <c r="B38"/>
      <c r="C38"/>
    </row>
    <row r="39" spans="1:8" x14ac:dyDescent="0.2">
      <c r="A39"/>
      <c r="B39"/>
      <c r="C39"/>
    </row>
    <row r="40" spans="1:8" x14ac:dyDescent="0.2">
      <c r="A40"/>
      <c r="B40"/>
      <c r="C40"/>
    </row>
    <row r="41" spans="1:8" x14ac:dyDescent="0.2">
      <c r="A41"/>
      <c r="B41"/>
      <c r="C41"/>
    </row>
    <row r="42" spans="1:8" x14ac:dyDescent="0.2">
      <c r="A42"/>
      <c r="B42"/>
      <c r="C42"/>
    </row>
    <row r="43" spans="1:8" x14ac:dyDescent="0.2">
      <c r="A43"/>
      <c r="B43"/>
      <c r="C43"/>
    </row>
    <row r="44" spans="1:8" x14ac:dyDescent="0.2">
      <c r="A44"/>
      <c r="B44"/>
      <c r="C44"/>
    </row>
    <row r="45" spans="1:8" x14ac:dyDescent="0.2">
      <c r="A45"/>
      <c r="B45"/>
      <c r="C45"/>
    </row>
    <row r="46" spans="1:8" x14ac:dyDescent="0.2">
      <c r="A46"/>
      <c r="B46"/>
      <c r="C46"/>
    </row>
    <row r="48" spans="1:8" x14ac:dyDescent="0.2">
      <c r="A48"/>
      <c r="B48"/>
      <c r="C48"/>
      <c r="D48"/>
    </row>
    <row r="49" spans="1:4" x14ac:dyDescent="0.2">
      <c r="A49" s="17"/>
      <c r="B49" s="16"/>
      <c r="C49" s="16"/>
      <c r="D49"/>
    </row>
    <row r="50" spans="1:4" x14ac:dyDescent="0.2">
      <c r="A50" s="17"/>
      <c r="B50" s="16"/>
      <c r="C50" s="16"/>
      <c r="D50"/>
    </row>
    <row r="51" spans="1:4" x14ac:dyDescent="0.2">
      <c r="A51" s="17"/>
      <c r="B51" s="16"/>
      <c r="C51" s="16"/>
      <c r="D51"/>
    </row>
    <row r="52" spans="1:4" x14ac:dyDescent="0.2">
      <c r="A52" s="17"/>
      <c r="B52" s="16"/>
      <c r="C52" s="16"/>
      <c r="D52"/>
    </row>
    <row r="53" spans="1:4" x14ac:dyDescent="0.2">
      <c r="A53" s="17"/>
      <c r="B53" s="16"/>
      <c r="C53" s="16"/>
      <c r="D53"/>
    </row>
    <row r="54" spans="1:4" x14ac:dyDescent="0.2">
      <c r="A54" s="17"/>
      <c r="B54" s="16"/>
      <c r="C54" s="16"/>
      <c r="D54"/>
    </row>
    <row r="55" spans="1:4" x14ac:dyDescent="0.2">
      <c r="A55" s="17"/>
      <c r="B55" s="16"/>
      <c r="C55" s="16"/>
      <c r="D55"/>
    </row>
    <row r="56" spans="1:4" x14ac:dyDescent="0.2">
      <c r="A56" s="17"/>
      <c r="B56" s="16"/>
      <c r="C56" s="16"/>
      <c r="D56"/>
    </row>
    <row r="57" spans="1:4" x14ac:dyDescent="0.2">
      <c r="A57" s="17"/>
      <c r="B57" s="16"/>
      <c r="C57" s="16"/>
      <c r="D57"/>
    </row>
    <row r="58" spans="1:4" x14ac:dyDescent="0.2">
      <c r="A58" s="17"/>
      <c r="B58" s="16"/>
      <c r="C58" s="16"/>
      <c r="D58"/>
    </row>
    <row r="59" spans="1:4" x14ac:dyDescent="0.2">
      <c r="A59" s="17"/>
      <c r="B59" s="16"/>
      <c r="C59" s="16"/>
      <c r="D59"/>
    </row>
    <row r="60" spans="1:4" x14ac:dyDescent="0.2">
      <c r="A60" s="17"/>
      <c r="B60" s="16"/>
      <c r="C60" s="16"/>
      <c r="D60"/>
    </row>
    <row r="61" spans="1:4" x14ac:dyDescent="0.2">
      <c r="A61" s="17"/>
      <c r="B61" s="16"/>
      <c r="C61" s="16"/>
      <c r="D61"/>
    </row>
    <row r="62" spans="1:4" x14ac:dyDescent="0.2">
      <c r="A62" s="17"/>
      <c r="B62" s="16"/>
      <c r="C62" s="16"/>
      <c r="D62"/>
    </row>
    <row r="63" spans="1:4" x14ac:dyDescent="0.2">
      <c r="A63" s="17"/>
      <c r="B63" s="16"/>
      <c r="C63" s="16"/>
      <c r="D63"/>
    </row>
    <row r="64" spans="1:4" x14ac:dyDescent="0.2">
      <c r="A64" s="17"/>
      <c r="B64" s="16"/>
      <c r="C64" s="16"/>
      <c r="D64"/>
    </row>
    <row r="65" spans="1:4" x14ac:dyDescent="0.2">
      <c r="A65" s="17"/>
      <c r="B65" s="16"/>
      <c r="C65" s="16"/>
      <c r="D65"/>
    </row>
    <row r="66" spans="1:4" x14ac:dyDescent="0.2">
      <c r="A66" s="17"/>
      <c r="B66" s="16"/>
      <c r="C66" s="16"/>
    </row>
    <row r="67" spans="1:4" x14ac:dyDescent="0.2">
      <c r="A67" s="17"/>
      <c r="B67" s="16"/>
      <c r="C67" s="16"/>
    </row>
    <row r="68" spans="1:4" x14ac:dyDescent="0.2">
      <c r="A68" s="17"/>
      <c r="B68" s="16"/>
      <c r="C68" s="16"/>
    </row>
    <row r="69" spans="1:4" x14ac:dyDescent="0.2">
      <c r="A69" s="17"/>
      <c r="B69" s="16"/>
      <c r="C69" s="16"/>
    </row>
    <row r="70" spans="1:4" x14ac:dyDescent="0.2">
      <c r="A70" s="17"/>
      <c r="B70" s="16"/>
      <c r="C70" s="16"/>
    </row>
    <row r="71" spans="1:4" x14ac:dyDescent="0.2">
      <c r="A71" s="17"/>
      <c r="B71" s="16"/>
      <c r="C71" s="16"/>
    </row>
    <row r="72" spans="1:4" x14ac:dyDescent="0.2">
      <c r="A72" s="17"/>
      <c r="B72" s="16"/>
      <c r="C72" s="16"/>
    </row>
    <row r="73" spans="1:4" x14ac:dyDescent="0.2">
      <c r="A73" s="17"/>
      <c r="B73" s="16"/>
      <c r="C73" s="16"/>
    </row>
    <row r="74" spans="1:4" x14ac:dyDescent="0.2">
      <c r="A74" s="17"/>
      <c r="B74" s="16"/>
      <c r="C74" s="16"/>
    </row>
    <row r="75" spans="1:4" x14ac:dyDescent="0.2">
      <c r="A75" s="17"/>
      <c r="B75" s="16"/>
      <c r="C75" s="16"/>
    </row>
    <row r="76" spans="1:4" x14ac:dyDescent="0.2">
      <c r="A76" s="17"/>
      <c r="B76" s="16"/>
      <c r="C76" s="16"/>
    </row>
    <row r="77" spans="1:4" x14ac:dyDescent="0.2">
      <c r="A77" s="17"/>
      <c r="B77" s="16"/>
      <c r="C77" s="16"/>
    </row>
    <row r="78" spans="1:4" x14ac:dyDescent="0.2">
      <c r="A78" s="17"/>
      <c r="B78" s="16"/>
      <c r="C78" s="16"/>
    </row>
    <row r="79" spans="1:4" x14ac:dyDescent="0.2">
      <c r="A79" s="17"/>
      <c r="B79" s="16"/>
      <c r="C79" s="16"/>
    </row>
    <row r="80" spans="1:4" x14ac:dyDescent="0.2">
      <c r="A80" s="17"/>
      <c r="B80" s="16"/>
      <c r="C80" s="16"/>
    </row>
    <row r="81" spans="1:3" x14ac:dyDescent="0.2">
      <c r="A81" s="17"/>
      <c r="B81" s="16"/>
      <c r="C81" s="16"/>
    </row>
    <row r="82" spans="1:3" x14ac:dyDescent="0.2">
      <c r="A82" s="17"/>
      <c r="B82" s="16"/>
      <c r="C82" s="16"/>
    </row>
    <row r="83" spans="1:3" x14ac:dyDescent="0.2">
      <c r="A83" s="17"/>
      <c r="B83" s="16"/>
      <c r="C83" s="16"/>
    </row>
    <row r="84" spans="1:3" x14ac:dyDescent="0.2">
      <c r="A84" s="17"/>
      <c r="B84" s="16"/>
      <c r="C84" s="16"/>
    </row>
    <row r="85" spans="1:3" x14ac:dyDescent="0.2">
      <c r="A85" s="17"/>
      <c r="B85" s="16"/>
      <c r="C85" s="16"/>
    </row>
    <row r="86" spans="1:3" x14ac:dyDescent="0.2">
      <c r="A86" s="17"/>
      <c r="B86" s="16"/>
      <c r="C86" s="16"/>
    </row>
    <row r="87" spans="1:3" x14ac:dyDescent="0.2">
      <c r="A87" s="17"/>
      <c r="B87" s="16"/>
      <c r="C87" s="16"/>
    </row>
    <row r="88" spans="1:3" x14ac:dyDescent="0.2">
      <c r="A88" s="17"/>
      <c r="B88" s="16"/>
      <c r="C88" s="16"/>
    </row>
    <row r="89" spans="1:3" x14ac:dyDescent="0.2">
      <c r="A89" s="17"/>
      <c r="B89" s="16"/>
      <c r="C89" s="16"/>
    </row>
    <row r="90" spans="1:3" x14ac:dyDescent="0.2">
      <c r="A90" s="17"/>
      <c r="B90" s="16"/>
      <c r="C90" s="16"/>
    </row>
    <row r="91" spans="1:3" x14ac:dyDescent="0.2">
      <c r="A91" s="17"/>
      <c r="B91" s="16"/>
      <c r="C91" s="16"/>
    </row>
    <row r="92" spans="1:3" x14ac:dyDescent="0.2">
      <c r="A92" s="18"/>
      <c r="B92" s="16"/>
      <c r="C92" s="16"/>
    </row>
    <row r="93" spans="1:3" x14ac:dyDescent="0.2">
      <c r="A93" s="18"/>
      <c r="B93" s="16"/>
      <c r="C93" s="16"/>
    </row>
  </sheetData>
  <conditionalFormatting pivot="1" sqref="C2:C27">
    <cfRule type="dataBar" priority="1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{B8084163-20AA-4C9F-922D-59E7B7F1AF75}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B8084163-20AA-4C9F-922D-59E7B7F1AF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7"/>
  <sheetViews>
    <sheetView workbookViewId="0">
      <selection activeCell="E41" sqref="E41"/>
    </sheetView>
  </sheetViews>
  <sheetFormatPr defaultRowHeight="12.75" x14ac:dyDescent="0.2"/>
  <cols>
    <col min="1" max="1" width="13.85546875" bestFit="1" customWidth="1"/>
    <col min="2" max="2" width="16.85546875" bestFit="1" customWidth="1"/>
    <col min="3" max="3" width="8.28515625" bestFit="1" customWidth="1"/>
    <col min="4" max="4" width="6.5703125" customWidth="1"/>
    <col min="5" max="5" width="23.42578125" bestFit="1" customWidth="1"/>
    <col min="6" max="6" width="16.7109375" bestFit="1" customWidth="1"/>
    <col min="7" max="7" width="10.5703125" bestFit="1" customWidth="1"/>
  </cols>
  <sheetData>
    <row r="1" spans="1:8" x14ac:dyDescent="0.2">
      <c r="A1" s="15" t="str">
        <f>Log!J2</f>
        <v>Entry name</v>
      </c>
      <c r="B1" s="15" t="str">
        <f>Log!K2</f>
        <v>Exit name</v>
      </c>
      <c r="C1" s="15" t="s">
        <v>54</v>
      </c>
      <c r="D1" s="15"/>
      <c r="E1" s="15" t="s">
        <v>55</v>
      </c>
      <c r="F1" s="15" t="s">
        <v>59</v>
      </c>
      <c r="G1" s="15" t="s">
        <v>50</v>
      </c>
      <c r="H1" s="15" t="s">
        <v>56</v>
      </c>
    </row>
    <row r="2" spans="1:8" x14ac:dyDescent="0.2">
      <c r="A2" t="s">
        <v>15</v>
      </c>
      <c r="B2" t="s">
        <v>16</v>
      </c>
      <c r="C2" s="1" t="s">
        <v>10</v>
      </c>
      <c r="D2" s="1"/>
      <c r="E2" s="1" t="s">
        <v>57</v>
      </c>
      <c r="F2" s="53" t="s">
        <v>60</v>
      </c>
      <c r="G2">
        <v>6.25</v>
      </c>
      <c r="H2">
        <v>1E-4</v>
      </c>
    </row>
    <row r="3" spans="1:8" x14ac:dyDescent="0.2">
      <c r="A3" t="s">
        <v>20</v>
      </c>
      <c r="B3" t="s">
        <v>21</v>
      </c>
      <c r="C3" s="1" t="s">
        <v>19</v>
      </c>
      <c r="D3" s="1"/>
    </row>
    <row r="4" spans="1:8" x14ac:dyDescent="0.2">
      <c r="A4" t="s">
        <v>27</v>
      </c>
      <c r="B4" s="1" t="s">
        <v>68</v>
      </c>
    </row>
    <row r="5" spans="1:8" x14ac:dyDescent="0.2">
      <c r="A5" s="1" t="s">
        <v>48</v>
      </c>
      <c r="B5" t="s">
        <v>26</v>
      </c>
    </row>
    <row r="6" spans="1:8" x14ac:dyDescent="0.2">
      <c r="B6" t="s">
        <v>23</v>
      </c>
      <c r="C6" s="1"/>
      <c r="D6" s="1"/>
    </row>
    <row r="7" spans="1:8" x14ac:dyDescent="0.2">
      <c r="B7" s="1" t="s">
        <v>49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B15"/>
  <sheetViews>
    <sheetView workbookViewId="0">
      <selection activeCell="B29" sqref="B29"/>
    </sheetView>
  </sheetViews>
  <sheetFormatPr defaultRowHeight="12.75" x14ac:dyDescent="0.2"/>
  <cols>
    <col min="1" max="1" width="16" bestFit="1" customWidth="1"/>
    <col min="2" max="2" width="46.85546875" bestFit="1" customWidth="1"/>
  </cols>
  <sheetData>
    <row r="1" spans="1:2" x14ac:dyDescent="0.2">
      <c r="A1" s="15" t="s">
        <v>71</v>
      </c>
      <c r="B1" s="15" t="s">
        <v>17</v>
      </c>
    </row>
    <row r="2" spans="1:2" x14ac:dyDescent="0.2">
      <c r="A2" s="1" t="s">
        <v>64</v>
      </c>
      <c r="B2" s="1" t="s">
        <v>72</v>
      </c>
    </row>
    <row r="3" spans="1:2" x14ac:dyDescent="0.2">
      <c r="A3" s="1" t="s">
        <v>65</v>
      </c>
      <c r="B3" s="1" t="s">
        <v>105</v>
      </c>
    </row>
    <row r="4" spans="1:2" x14ac:dyDescent="0.2">
      <c r="A4" s="1" t="s">
        <v>66</v>
      </c>
    </row>
    <row r="5" spans="1:2" x14ac:dyDescent="0.2">
      <c r="A5" s="1" t="s">
        <v>53</v>
      </c>
    </row>
    <row r="6" spans="1:2" x14ac:dyDescent="0.2">
      <c r="A6" s="1" t="s">
        <v>67</v>
      </c>
    </row>
    <row r="13" spans="1:2" x14ac:dyDescent="0.2">
      <c r="A13" s="15" t="s">
        <v>103</v>
      </c>
    </row>
    <row r="14" spans="1:2" x14ac:dyDescent="0.2">
      <c r="A14" s="1" t="s">
        <v>69</v>
      </c>
    </row>
    <row r="15" spans="1:2" x14ac:dyDescent="0.2">
      <c r="A15" s="1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Log</vt:lpstr>
      <vt:lpstr>Summary</vt:lpstr>
      <vt:lpstr>Lookup</vt:lpstr>
      <vt:lpstr>Plan Notes</vt:lpstr>
      <vt:lpstr>Equity Chart</vt:lpstr>
      <vt:lpstr>Entry_name</vt:lpstr>
      <vt:lpstr>Exit_name</vt:lpstr>
      <vt:lpstr>Position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Trend Jumper Custom Log Example</dc:title>
  <dc:creator>JK</dc:creator>
  <cp:lastModifiedBy>JK</cp:lastModifiedBy>
  <dcterms:created xsi:type="dcterms:W3CDTF">2013-12-04T08:50:49Z</dcterms:created>
  <dcterms:modified xsi:type="dcterms:W3CDTF">2014-04-12T08:38:09Z</dcterms:modified>
</cp:coreProperties>
</file>